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omments3.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4340" yWindow="360" windowWidth="13410" windowHeight="10890" activeTab="1"/>
  </bookViews>
  <sheets>
    <sheet name="NEW...Tables 87-90" sheetId="5" r:id="rId1"/>
    <sheet name="OLD...Tables" sheetId="7" r:id="rId2"/>
    <sheet name="NEW...Tables 91-112" sheetId="6" r:id="rId3"/>
    <sheet name="OLD...Tabs" sheetId="8" r:id="rId4"/>
    <sheet name="Pivot Table for Data Exchange" sheetId="2" r:id="rId5"/>
    <sheet name="E-learning credit hours" sheetId="1" r:id="rId6"/>
    <sheet name="Format for DE pivot" sheetId="10" r:id="rId7"/>
    <sheet name="Format 01b" sheetId="11" r:id="rId8"/>
    <sheet name="Summary Table for Fact Book" sheetId="9" r:id="rId9"/>
    <sheet name="Pivot Table for Fact Book" sheetId="3" r:id="rId10"/>
  </sheets>
  <definedNames>
    <definedName name="_xlnm.Print_Area" localSheetId="0">'NEW...Tables 87-90'!$A$1:$P$117</definedName>
    <definedName name="_xlnm.Print_Area" localSheetId="2">'NEW...Tables 91-112'!$A$1:$P$461</definedName>
    <definedName name="_xlnm.Print_Area" localSheetId="1">OLD...Tables!$A$1:$P$117</definedName>
    <definedName name="_xlnm.Print_Area" localSheetId="3">OLD...Tabs!$A$1:$P$461</definedName>
    <definedName name="Type10ug1" localSheetId="5">'E-learning credit hours'!#REF!</definedName>
    <definedName name="Type10ug2" localSheetId="5">'E-learning credit hours'!#REF!</definedName>
    <definedName name="Type10ug3" localSheetId="5">'E-learning credit hours'!#REF!</definedName>
    <definedName name="Type10ug4" localSheetId="5">'E-learning credit hours'!#REF!</definedName>
    <definedName name="Type10ug5" localSheetId="5">'E-learning credit hours'!#REF!</definedName>
    <definedName name="Type11gr1_1" localSheetId="5">'E-learning credit hours'!$W$403:$W$508</definedName>
    <definedName name="Type11gr2" localSheetId="5">'E-learning credit hours'!$Y$403:$Y$508</definedName>
    <definedName name="Type11gr3_1" localSheetId="5">'E-learning credit hours'!$AC$403:$AC$508</definedName>
    <definedName name="Type11gr4_1" localSheetId="5">'E-learning credit hours'!$AD$403:$AD$508</definedName>
    <definedName name="Type11gr5_1" localSheetId="5">'E-learning credit hours'!$AE$403:$AE$508</definedName>
    <definedName name="Type11ug1_1" localSheetId="5">'E-learning credit hours'!$I$403:$I$508</definedName>
    <definedName name="Type11ug2" localSheetId="5">'E-learning credit hours'!$K$403:$K$508</definedName>
    <definedName name="Type11ug3" localSheetId="5">'E-learning credit hours'!$O$403:$O$508</definedName>
    <definedName name="Type11ug4" localSheetId="5">'E-learning credit hours'!$P$403:$P$508</definedName>
    <definedName name="Type11ug5_1" localSheetId="5">'E-learning credit hours'!$Q$403:$Q$508</definedName>
  </definedNames>
  <calcPr calcId="145621"/>
  <pivotCaches>
    <pivotCache cacheId="19" r:id="rId11"/>
    <pivotCache cacheId="20" r:id="rId12"/>
  </pivotCaches>
</workbook>
</file>

<file path=xl/calcChain.xml><?xml version="1.0" encoding="utf-8"?>
<calcChain xmlns="http://schemas.openxmlformats.org/spreadsheetml/2006/main">
  <c r="Q214" i="6" l="1"/>
  <c r="Q215" i="6"/>
  <c r="Q216" i="6"/>
  <c r="Q217" i="6"/>
  <c r="Q218" i="6"/>
  <c r="Q219" i="6"/>
  <c r="Q220" i="6"/>
  <c r="Q221" i="6"/>
  <c r="Q222" i="6"/>
  <c r="Q223" i="6"/>
  <c r="Q224" i="6"/>
  <c r="Q225" i="6"/>
  <c r="Q230" i="6"/>
  <c r="Q235" i="6"/>
  <c r="Q240" i="6"/>
  <c r="Q245" i="6"/>
  <c r="Q246" i="6"/>
  <c r="Q247" i="6"/>
  <c r="Q248" i="6"/>
  <c r="Q249" i="6"/>
  <c r="Q250" i="6"/>
  <c r="Q251" i="6"/>
  <c r="Q252" i="6"/>
  <c r="Q253" i="6"/>
  <c r="Q254" i="6"/>
  <c r="Q255" i="6"/>
  <c r="Q256" i="6"/>
  <c r="Q261" i="6"/>
  <c r="Q266" i="6"/>
  <c r="Q271" i="6"/>
  <c r="Q276" i="6"/>
  <c r="Q277" i="6"/>
  <c r="Q278" i="6"/>
  <c r="Q279" i="6"/>
  <c r="Q280" i="6"/>
  <c r="Q281" i="6"/>
  <c r="Q282" i="6"/>
  <c r="Q283" i="6"/>
  <c r="Q284" i="6"/>
  <c r="Q285" i="6"/>
  <c r="Q286" i="6"/>
  <c r="Q287" i="6"/>
  <c r="Q292" i="6"/>
  <c r="Q297" i="6"/>
  <c r="Q302" i="6"/>
  <c r="Q307" i="6"/>
  <c r="Q308" i="6"/>
  <c r="Q309" i="6"/>
  <c r="Q310" i="6"/>
  <c r="Q311" i="6"/>
  <c r="Q312" i="6"/>
  <c r="Q313" i="6"/>
  <c r="Q314" i="6"/>
  <c r="Q315" i="6"/>
  <c r="Q316" i="6"/>
  <c r="Q317" i="6"/>
  <c r="Q318" i="6"/>
  <c r="Q323" i="6"/>
  <c r="Q328" i="6"/>
  <c r="Q333" i="6"/>
  <c r="Q338" i="6"/>
  <c r="Q339" i="6"/>
  <c r="Q340" i="6"/>
  <c r="Q341" i="6"/>
  <c r="Q342" i="6"/>
  <c r="Q343" i="6"/>
  <c r="Q344" i="6"/>
  <c r="Q345" i="6"/>
  <c r="Q346" i="6"/>
  <c r="Q347" i="6"/>
  <c r="Q348" i="6"/>
  <c r="Q353" i="6"/>
  <c r="Q358" i="6"/>
  <c r="Q363" i="6"/>
  <c r="Q368" i="6"/>
  <c r="Q369" i="6"/>
  <c r="Q370" i="6"/>
  <c r="Q371" i="6"/>
  <c r="Q372" i="6"/>
  <c r="Q373" i="6"/>
  <c r="Q374" i="6"/>
  <c r="Q375" i="6"/>
  <c r="Q376" i="6"/>
  <c r="Q377" i="6"/>
  <c r="Q378" i="6"/>
  <c r="Q379" i="6"/>
  <c r="Q384" i="6"/>
  <c r="Q389" i="6"/>
  <c r="Q394" i="6"/>
  <c r="Q399" i="6"/>
  <c r="Q400" i="6"/>
  <c r="Q401" i="6"/>
  <c r="Q402" i="6"/>
  <c r="Q403" i="6"/>
  <c r="Q404" i="6"/>
  <c r="Q405" i="6"/>
  <c r="Q406" i="6"/>
  <c r="Q407" i="6"/>
  <c r="Q408" i="6"/>
  <c r="Q409" i="6"/>
  <c r="Q414" i="6"/>
  <c r="Q419" i="6"/>
  <c r="Q424" i="6"/>
  <c r="Q429" i="6"/>
  <c r="Q430" i="6"/>
  <c r="Q431" i="6"/>
  <c r="Q432" i="6"/>
  <c r="Q433" i="6"/>
  <c r="Q434" i="6"/>
  <c r="Q435" i="6"/>
  <c r="Q436" i="6"/>
  <c r="Q437" i="6"/>
  <c r="Q438" i="6"/>
  <c r="Q439" i="6"/>
  <c r="Q444" i="6"/>
  <c r="Q449" i="6"/>
  <c r="Q454" i="6"/>
  <c r="Q28" i="6"/>
  <c r="R28" i="6"/>
  <c r="Q29" i="6"/>
  <c r="R29" i="6"/>
  <c r="Q30" i="6"/>
  <c r="R30" i="6"/>
  <c r="Q31" i="6"/>
  <c r="R31" i="6"/>
  <c r="Q32" i="6"/>
  <c r="R32" i="6"/>
  <c r="Q33" i="6"/>
  <c r="R33" i="6"/>
  <c r="Q34" i="6"/>
  <c r="R34" i="6"/>
  <c r="Q35" i="6"/>
  <c r="R35" i="6"/>
  <c r="Q36" i="6"/>
  <c r="R36" i="6"/>
  <c r="Q37" i="6"/>
  <c r="R37" i="6"/>
  <c r="Q38" i="6"/>
  <c r="R38" i="6"/>
  <c r="Q39" i="6"/>
  <c r="R39" i="6"/>
  <c r="Q40" i="6"/>
  <c r="R40" i="6"/>
  <c r="Q45" i="6"/>
  <c r="R45" i="6"/>
  <c r="Q50" i="6"/>
  <c r="R50" i="6"/>
  <c r="Q55" i="6"/>
  <c r="R55" i="6"/>
  <c r="Q60" i="6"/>
  <c r="R60" i="6"/>
  <c r="Q61" i="6"/>
  <c r="R61" i="6"/>
  <c r="Q62" i="6"/>
  <c r="R62" i="6"/>
  <c r="Q63" i="6"/>
  <c r="R63" i="6"/>
  <c r="Q64" i="6"/>
  <c r="R64" i="6"/>
  <c r="Q65" i="6"/>
  <c r="R65" i="6"/>
  <c r="Q66" i="6"/>
  <c r="R66" i="6"/>
  <c r="Q67" i="6"/>
  <c r="R67" i="6"/>
  <c r="Q68" i="6"/>
  <c r="R68" i="6"/>
  <c r="Q69" i="6"/>
  <c r="R69" i="6"/>
  <c r="Q70" i="6"/>
  <c r="R70" i="6"/>
  <c r="Q71" i="6"/>
  <c r="R71" i="6"/>
  <c r="Q76" i="6"/>
  <c r="R76" i="6"/>
  <c r="Q81" i="6"/>
  <c r="R81" i="6"/>
  <c r="Q86" i="6"/>
  <c r="R86" i="6"/>
  <c r="Q91" i="6"/>
  <c r="R91" i="6"/>
  <c r="Q92" i="6"/>
  <c r="R92" i="6"/>
  <c r="Q93" i="6"/>
  <c r="R93" i="6"/>
  <c r="Q94" i="6"/>
  <c r="R94" i="6"/>
  <c r="Q95" i="6"/>
  <c r="R95" i="6"/>
  <c r="Q96" i="6"/>
  <c r="R96" i="6"/>
  <c r="Q97" i="6"/>
  <c r="R97" i="6"/>
  <c r="Q98" i="6"/>
  <c r="R98" i="6"/>
  <c r="Q99" i="6"/>
  <c r="R99" i="6"/>
  <c r="Q100" i="6"/>
  <c r="R100" i="6"/>
  <c r="Q101" i="6"/>
  <c r="R101" i="6"/>
  <c r="Q102" i="6"/>
  <c r="R102" i="6"/>
  <c r="Q107" i="6"/>
  <c r="R107" i="6"/>
  <c r="Q112" i="6"/>
  <c r="R112" i="6"/>
  <c r="Q117" i="6"/>
  <c r="R117" i="6"/>
  <c r="Q122" i="6"/>
  <c r="R122" i="6"/>
  <c r="Q123" i="6"/>
  <c r="R123" i="6"/>
  <c r="Q124" i="6"/>
  <c r="R124" i="6"/>
  <c r="Q125" i="6"/>
  <c r="R125" i="6"/>
  <c r="Q126" i="6"/>
  <c r="R126" i="6"/>
  <c r="Q127" i="6"/>
  <c r="R127" i="6"/>
  <c r="Q128" i="6"/>
  <c r="R128" i="6"/>
  <c r="Q129" i="6"/>
  <c r="R129" i="6"/>
  <c r="Q130" i="6"/>
  <c r="R130" i="6"/>
  <c r="Q131" i="6"/>
  <c r="R131" i="6"/>
  <c r="Q132" i="6"/>
  <c r="R132" i="6"/>
  <c r="Q133" i="6"/>
  <c r="R133" i="6"/>
  <c r="Q138" i="6"/>
  <c r="R138" i="6"/>
  <c r="Q143" i="6"/>
  <c r="R143" i="6"/>
  <c r="Q148" i="6"/>
  <c r="R148" i="6"/>
  <c r="Q153" i="6"/>
  <c r="R153" i="6"/>
  <c r="Q154" i="6"/>
  <c r="R154" i="6"/>
  <c r="Q155" i="6"/>
  <c r="R155" i="6"/>
  <c r="Q156" i="6"/>
  <c r="R156" i="6"/>
  <c r="Q157" i="6"/>
  <c r="R157" i="6"/>
  <c r="Q158" i="6"/>
  <c r="R158" i="6"/>
  <c r="Q159" i="6"/>
  <c r="R159" i="6"/>
  <c r="Q160" i="6"/>
  <c r="R160" i="6"/>
  <c r="Q161" i="6"/>
  <c r="R161" i="6"/>
  <c r="Q162" i="6"/>
  <c r="R162" i="6"/>
  <c r="Q163" i="6"/>
  <c r="R163" i="6"/>
  <c r="Q168" i="6"/>
  <c r="R168" i="6"/>
  <c r="Q173" i="6"/>
  <c r="R173" i="6"/>
  <c r="Q178" i="6"/>
  <c r="R178" i="6"/>
  <c r="Q183" i="6"/>
  <c r="R183" i="6"/>
  <c r="Q184" i="6"/>
  <c r="R184" i="6"/>
  <c r="Q185" i="6"/>
  <c r="R185" i="6"/>
  <c r="Q186" i="6"/>
  <c r="R186" i="6"/>
  <c r="Q187" i="6"/>
  <c r="R187" i="6"/>
  <c r="Q188" i="6"/>
  <c r="R188" i="6"/>
  <c r="Q189" i="6"/>
  <c r="R189" i="6"/>
  <c r="Q190" i="6"/>
  <c r="R190" i="6"/>
  <c r="Q191" i="6"/>
  <c r="R191" i="6"/>
  <c r="Q192" i="6"/>
  <c r="R192" i="6"/>
  <c r="Q193" i="6"/>
  <c r="R193" i="6"/>
  <c r="Q194" i="6"/>
  <c r="R194" i="6"/>
  <c r="Q199" i="6"/>
  <c r="R199" i="6"/>
  <c r="Q204" i="6"/>
  <c r="R204" i="6"/>
  <c r="Q209" i="6"/>
  <c r="R209" i="6"/>
  <c r="R214" i="6"/>
  <c r="R215" i="6"/>
  <c r="R216" i="6"/>
  <c r="R217" i="6"/>
  <c r="H458" i="6"/>
  <c r="G458" i="6"/>
  <c r="F458" i="6"/>
  <c r="E458" i="6"/>
  <c r="C458" i="6"/>
  <c r="B458" i="6"/>
  <c r="H457" i="6"/>
  <c r="G457" i="6"/>
  <c r="F457" i="6"/>
  <c r="E457" i="6"/>
  <c r="C457" i="6"/>
  <c r="B457" i="6"/>
  <c r="H456" i="6"/>
  <c r="G456" i="6"/>
  <c r="F456" i="6"/>
  <c r="E456" i="6"/>
  <c r="C456" i="6"/>
  <c r="B456" i="6"/>
  <c r="H455" i="6"/>
  <c r="G455" i="6"/>
  <c r="F455" i="6"/>
  <c r="E455" i="6"/>
  <c r="C455" i="6"/>
  <c r="B455" i="6"/>
  <c r="H453" i="6"/>
  <c r="G453" i="6"/>
  <c r="F453" i="6"/>
  <c r="E453" i="6"/>
  <c r="C453" i="6"/>
  <c r="B453" i="6"/>
  <c r="H452" i="6"/>
  <c r="G452" i="6"/>
  <c r="F452" i="6"/>
  <c r="E452" i="6"/>
  <c r="C452" i="6"/>
  <c r="B452" i="6"/>
  <c r="H451" i="6"/>
  <c r="G451" i="6"/>
  <c r="F451" i="6"/>
  <c r="E451" i="6"/>
  <c r="C451" i="6"/>
  <c r="B451" i="6"/>
  <c r="H450" i="6"/>
  <c r="G450" i="6"/>
  <c r="F450" i="6"/>
  <c r="E450" i="6"/>
  <c r="C450" i="6"/>
  <c r="B450" i="6"/>
  <c r="H448" i="6"/>
  <c r="G448" i="6"/>
  <c r="F448" i="6"/>
  <c r="E448" i="6"/>
  <c r="C448" i="6"/>
  <c r="B448" i="6"/>
  <c r="H447" i="6"/>
  <c r="G447" i="6"/>
  <c r="F447" i="6"/>
  <c r="E447" i="6"/>
  <c r="C447" i="6"/>
  <c r="B447" i="6"/>
  <c r="H446" i="6"/>
  <c r="G446" i="6"/>
  <c r="F446" i="6"/>
  <c r="E446" i="6"/>
  <c r="C446" i="6"/>
  <c r="B446" i="6"/>
  <c r="H445" i="6"/>
  <c r="G445" i="6"/>
  <c r="F445" i="6"/>
  <c r="E445" i="6"/>
  <c r="C445" i="6"/>
  <c r="B445" i="6"/>
  <c r="H443" i="6"/>
  <c r="G443" i="6"/>
  <c r="F443" i="6"/>
  <c r="E443" i="6"/>
  <c r="C443" i="6"/>
  <c r="B443" i="6"/>
  <c r="H442" i="6"/>
  <c r="G442" i="6"/>
  <c r="F442" i="6"/>
  <c r="E442" i="6"/>
  <c r="C442" i="6"/>
  <c r="B442" i="6"/>
  <c r="H441" i="6"/>
  <c r="G441" i="6"/>
  <c r="F441" i="6"/>
  <c r="E441" i="6"/>
  <c r="C441" i="6"/>
  <c r="B441" i="6"/>
  <c r="H440" i="6"/>
  <c r="G440" i="6"/>
  <c r="F440" i="6"/>
  <c r="E440" i="6"/>
  <c r="C440" i="6"/>
  <c r="B440" i="6"/>
  <c r="H428" i="6"/>
  <c r="G428" i="6"/>
  <c r="F428" i="6"/>
  <c r="E428" i="6"/>
  <c r="C428" i="6"/>
  <c r="B428" i="6"/>
  <c r="H427" i="6"/>
  <c r="G427" i="6"/>
  <c r="F427" i="6"/>
  <c r="E427" i="6"/>
  <c r="C427" i="6"/>
  <c r="B427" i="6"/>
  <c r="H426" i="6"/>
  <c r="G426" i="6"/>
  <c r="F426" i="6"/>
  <c r="E426" i="6"/>
  <c r="C426" i="6"/>
  <c r="B426" i="6"/>
  <c r="H425" i="6"/>
  <c r="G425" i="6"/>
  <c r="F425" i="6"/>
  <c r="E425" i="6"/>
  <c r="C425" i="6"/>
  <c r="B425" i="6"/>
  <c r="H423" i="6"/>
  <c r="G423" i="6"/>
  <c r="F423" i="6"/>
  <c r="E423" i="6"/>
  <c r="C423" i="6"/>
  <c r="B423" i="6"/>
  <c r="H422" i="6"/>
  <c r="G422" i="6"/>
  <c r="F422" i="6"/>
  <c r="E422" i="6"/>
  <c r="C422" i="6"/>
  <c r="B422" i="6"/>
  <c r="H421" i="6"/>
  <c r="G421" i="6"/>
  <c r="F421" i="6"/>
  <c r="E421" i="6"/>
  <c r="C421" i="6"/>
  <c r="B421" i="6"/>
  <c r="H420" i="6"/>
  <c r="G420" i="6"/>
  <c r="F420" i="6"/>
  <c r="E420" i="6"/>
  <c r="C420" i="6"/>
  <c r="B420" i="6"/>
  <c r="H418" i="6"/>
  <c r="G418" i="6"/>
  <c r="F418" i="6"/>
  <c r="E418" i="6"/>
  <c r="C418" i="6"/>
  <c r="B418" i="6"/>
  <c r="H417" i="6"/>
  <c r="G417" i="6"/>
  <c r="F417" i="6"/>
  <c r="E417" i="6"/>
  <c r="C417" i="6"/>
  <c r="B417" i="6"/>
  <c r="H416" i="6"/>
  <c r="G416" i="6"/>
  <c r="F416" i="6"/>
  <c r="E416" i="6"/>
  <c r="C416" i="6"/>
  <c r="B416" i="6"/>
  <c r="H415" i="6"/>
  <c r="G415" i="6"/>
  <c r="F415" i="6"/>
  <c r="E415" i="6"/>
  <c r="C415" i="6"/>
  <c r="B415" i="6"/>
  <c r="H413" i="6"/>
  <c r="G413" i="6"/>
  <c r="F413" i="6"/>
  <c r="E413" i="6"/>
  <c r="C413" i="6"/>
  <c r="B413" i="6"/>
  <c r="H412" i="6"/>
  <c r="G412" i="6"/>
  <c r="F412" i="6"/>
  <c r="E412" i="6"/>
  <c r="C412" i="6"/>
  <c r="B412" i="6"/>
  <c r="H411" i="6"/>
  <c r="G411" i="6"/>
  <c r="F411" i="6"/>
  <c r="E411" i="6"/>
  <c r="C411" i="6"/>
  <c r="B411" i="6"/>
  <c r="H410" i="6"/>
  <c r="G410" i="6"/>
  <c r="F410" i="6"/>
  <c r="E410" i="6"/>
  <c r="C410" i="6"/>
  <c r="B410" i="6"/>
  <c r="H398" i="6"/>
  <c r="G398" i="6"/>
  <c r="F398" i="6"/>
  <c r="E398" i="6"/>
  <c r="C398" i="6"/>
  <c r="B398" i="6"/>
  <c r="H397" i="6"/>
  <c r="G397" i="6"/>
  <c r="F397" i="6"/>
  <c r="E397" i="6"/>
  <c r="C397" i="6"/>
  <c r="B397" i="6"/>
  <c r="H396" i="6"/>
  <c r="G396" i="6"/>
  <c r="F396" i="6"/>
  <c r="E396" i="6"/>
  <c r="C396" i="6"/>
  <c r="B396" i="6"/>
  <c r="H395" i="6"/>
  <c r="G395" i="6"/>
  <c r="F395" i="6"/>
  <c r="E395" i="6"/>
  <c r="C395" i="6"/>
  <c r="B395" i="6"/>
  <c r="H393" i="6"/>
  <c r="G393" i="6"/>
  <c r="F393" i="6"/>
  <c r="E393" i="6"/>
  <c r="C393" i="6"/>
  <c r="B393" i="6"/>
  <c r="H392" i="6"/>
  <c r="G392" i="6"/>
  <c r="F392" i="6"/>
  <c r="E392" i="6"/>
  <c r="C392" i="6"/>
  <c r="B392" i="6"/>
  <c r="H391" i="6"/>
  <c r="G391" i="6"/>
  <c r="F391" i="6"/>
  <c r="E391" i="6"/>
  <c r="C391" i="6"/>
  <c r="B391" i="6"/>
  <c r="H390" i="6"/>
  <c r="G390" i="6"/>
  <c r="F390" i="6"/>
  <c r="E390" i="6"/>
  <c r="C390" i="6"/>
  <c r="B390" i="6"/>
  <c r="H388" i="6"/>
  <c r="G388" i="6"/>
  <c r="F388" i="6"/>
  <c r="E388" i="6"/>
  <c r="C388" i="6"/>
  <c r="B388" i="6"/>
  <c r="H387" i="6"/>
  <c r="G387" i="6"/>
  <c r="F387" i="6"/>
  <c r="E387" i="6"/>
  <c r="C387" i="6"/>
  <c r="B387" i="6"/>
  <c r="H386" i="6"/>
  <c r="G386" i="6"/>
  <c r="F386" i="6"/>
  <c r="E386" i="6"/>
  <c r="C386" i="6"/>
  <c r="B386" i="6"/>
  <c r="H385" i="6"/>
  <c r="G385" i="6"/>
  <c r="F385" i="6"/>
  <c r="E385" i="6"/>
  <c r="C385" i="6"/>
  <c r="B385" i="6"/>
  <c r="H383" i="6"/>
  <c r="G383" i="6"/>
  <c r="F383" i="6"/>
  <c r="E383" i="6"/>
  <c r="C383" i="6"/>
  <c r="B383" i="6"/>
  <c r="H382" i="6"/>
  <c r="G382" i="6"/>
  <c r="F382" i="6"/>
  <c r="E382" i="6"/>
  <c r="C382" i="6"/>
  <c r="B382" i="6"/>
  <c r="H381" i="6"/>
  <c r="G381" i="6"/>
  <c r="F381" i="6"/>
  <c r="E381" i="6"/>
  <c r="C381" i="6"/>
  <c r="B381" i="6"/>
  <c r="H380" i="6"/>
  <c r="G380" i="6"/>
  <c r="F380" i="6"/>
  <c r="E380" i="6"/>
  <c r="C380" i="6"/>
  <c r="B380" i="6"/>
  <c r="H367" i="6"/>
  <c r="G367" i="6"/>
  <c r="F367" i="6"/>
  <c r="E367" i="6"/>
  <c r="C367" i="6"/>
  <c r="B367" i="6"/>
  <c r="H366" i="6"/>
  <c r="G366" i="6"/>
  <c r="F366" i="6"/>
  <c r="E366" i="6"/>
  <c r="C366" i="6"/>
  <c r="B366" i="6"/>
  <c r="H365" i="6"/>
  <c r="G365" i="6"/>
  <c r="F365" i="6"/>
  <c r="E365" i="6"/>
  <c r="C365" i="6"/>
  <c r="B365" i="6"/>
  <c r="H364" i="6"/>
  <c r="G364" i="6"/>
  <c r="F364" i="6"/>
  <c r="E364" i="6"/>
  <c r="C364" i="6"/>
  <c r="B364" i="6"/>
  <c r="H362" i="6"/>
  <c r="G362" i="6"/>
  <c r="F362" i="6"/>
  <c r="E362" i="6"/>
  <c r="C362" i="6"/>
  <c r="B362" i="6"/>
  <c r="H361" i="6"/>
  <c r="G361" i="6"/>
  <c r="F361" i="6"/>
  <c r="E361" i="6"/>
  <c r="C361" i="6"/>
  <c r="B361" i="6"/>
  <c r="H360" i="6"/>
  <c r="G360" i="6"/>
  <c r="F360" i="6"/>
  <c r="E360" i="6"/>
  <c r="C360" i="6"/>
  <c r="B360" i="6"/>
  <c r="H359" i="6"/>
  <c r="G359" i="6"/>
  <c r="F359" i="6"/>
  <c r="E359" i="6"/>
  <c r="C359" i="6"/>
  <c r="B359" i="6"/>
  <c r="H357" i="6"/>
  <c r="G357" i="6"/>
  <c r="F357" i="6"/>
  <c r="E357" i="6"/>
  <c r="C357" i="6"/>
  <c r="B357" i="6"/>
  <c r="H356" i="6"/>
  <c r="G356" i="6"/>
  <c r="F356" i="6"/>
  <c r="E356" i="6"/>
  <c r="C356" i="6"/>
  <c r="B356" i="6"/>
  <c r="H355" i="6"/>
  <c r="G355" i="6"/>
  <c r="F355" i="6"/>
  <c r="E355" i="6"/>
  <c r="C355" i="6"/>
  <c r="B355" i="6"/>
  <c r="H354" i="6"/>
  <c r="G354" i="6"/>
  <c r="F354" i="6"/>
  <c r="E354" i="6"/>
  <c r="C354" i="6"/>
  <c r="B354" i="6"/>
  <c r="H352" i="6"/>
  <c r="G352" i="6"/>
  <c r="F352" i="6"/>
  <c r="E352" i="6"/>
  <c r="C352" i="6"/>
  <c r="B352" i="6"/>
  <c r="H351" i="6"/>
  <c r="G351" i="6"/>
  <c r="F351" i="6"/>
  <c r="E351" i="6"/>
  <c r="C351" i="6"/>
  <c r="B351" i="6"/>
  <c r="H350" i="6"/>
  <c r="G350" i="6"/>
  <c r="F350" i="6"/>
  <c r="E350" i="6"/>
  <c r="C350" i="6"/>
  <c r="B350" i="6"/>
  <c r="H349" i="6"/>
  <c r="G349" i="6"/>
  <c r="F349" i="6"/>
  <c r="E349" i="6"/>
  <c r="C349" i="6"/>
  <c r="B349" i="6"/>
  <c r="H337" i="6"/>
  <c r="G337" i="6"/>
  <c r="F337" i="6"/>
  <c r="E337" i="6"/>
  <c r="C337" i="6"/>
  <c r="B337" i="6"/>
  <c r="H336" i="6"/>
  <c r="G336" i="6"/>
  <c r="F336" i="6"/>
  <c r="E336" i="6"/>
  <c r="C336" i="6"/>
  <c r="B336" i="6"/>
  <c r="H335" i="6"/>
  <c r="G335" i="6"/>
  <c r="F335" i="6"/>
  <c r="E335" i="6"/>
  <c r="C335" i="6"/>
  <c r="B335" i="6"/>
  <c r="H334" i="6"/>
  <c r="G334" i="6"/>
  <c r="F334" i="6"/>
  <c r="E334" i="6"/>
  <c r="C334" i="6"/>
  <c r="B334" i="6"/>
  <c r="H332" i="6"/>
  <c r="G332" i="6"/>
  <c r="F332" i="6"/>
  <c r="E332" i="6"/>
  <c r="C332" i="6"/>
  <c r="B332" i="6"/>
  <c r="H331" i="6"/>
  <c r="G331" i="6"/>
  <c r="F331" i="6"/>
  <c r="E331" i="6"/>
  <c r="C331" i="6"/>
  <c r="B331" i="6"/>
  <c r="H330" i="6"/>
  <c r="G330" i="6"/>
  <c r="F330" i="6"/>
  <c r="E330" i="6"/>
  <c r="C330" i="6"/>
  <c r="B330" i="6"/>
  <c r="H329" i="6"/>
  <c r="G329" i="6"/>
  <c r="F329" i="6"/>
  <c r="E329" i="6"/>
  <c r="C329" i="6"/>
  <c r="B329" i="6"/>
  <c r="H327" i="6"/>
  <c r="G327" i="6"/>
  <c r="F327" i="6"/>
  <c r="E327" i="6"/>
  <c r="C327" i="6"/>
  <c r="B327" i="6"/>
  <c r="H326" i="6"/>
  <c r="G326" i="6"/>
  <c r="F326" i="6"/>
  <c r="E326" i="6"/>
  <c r="C326" i="6"/>
  <c r="B326" i="6"/>
  <c r="H325" i="6"/>
  <c r="G325" i="6"/>
  <c r="F325" i="6"/>
  <c r="E325" i="6"/>
  <c r="C325" i="6"/>
  <c r="B325" i="6"/>
  <c r="H324" i="6"/>
  <c r="G324" i="6"/>
  <c r="F324" i="6"/>
  <c r="E324" i="6"/>
  <c r="C324" i="6"/>
  <c r="B324" i="6"/>
  <c r="H322" i="6"/>
  <c r="G322" i="6"/>
  <c r="F322" i="6"/>
  <c r="E322" i="6"/>
  <c r="C322" i="6"/>
  <c r="B322" i="6"/>
  <c r="H321" i="6"/>
  <c r="G321" i="6"/>
  <c r="F321" i="6"/>
  <c r="E321" i="6"/>
  <c r="C321" i="6"/>
  <c r="B321" i="6"/>
  <c r="H320" i="6"/>
  <c r="G320" i="6"/>
  <c r="F320" i="6"/>
  <c r="E320" i="6"/>
  <c r="C320" i="6"/>
  <c r="B320" i="6"/>
  <c r="H319" i="6"/>
  <c r="G319" i="6"/>
  <c r="F319" i="6"/>
  <c r="E319" i="6"/>
  <c r="C319" i="6"/>
  <c r="B319" i="6"/>
  <c r="H306" i="6"/>
  <c r="G306" i="6"/>
  <c r="F306" i="6"/>
  <c r="E306" i="6"/>
  <c r="C306" i="6"/>
  <c r="B306" i="6"/>
  <c r="H305" i="6"/>
  <c r="G305" i="6"/>
  <c r="F305" i="6"/>
  <c r="E305" i="6"/>
  <c r="C305" i="6"/>
  <c r="B305" i="6"/>
  <c r="H304" i="6"/>
  <c r="G304" i="6"/>
  <c r="F304" i="6"/>
  <c r="E304" i="6"/>
  <c r="C304" i="6"/>
  <c r="B304" i="6"/>
  <c r="H303" i="6"/>
  <c r="G303" i="6"/>
  <c r="F303" i="6"/>
  <c r="E303" i="6"/>
  <c r="C303" i="6"/>
  <c r="B303" i="6"/>
  <c r="H301" i="6"/>
  <c r="G301" i="6"/>
  <c r="F301" i="6"/>
  <c r="E301" i="6"/>
  <c r="C301" i="6"/>
  <c r="B301" i="6"/>
  <c r="H300" i="6"/>
  <c r="G300" i="6"/>
  <c r="F300" i="6"/>
  <c r="E300" i="6"/>
  <c r="C300" i="6"/>
  <c r="B300" i="6"/>
  <c r="H299" i="6"/>
  <c r="G299" i="6"/>
  <c r="F299" i="6"/>
  <c r="E299" i="6"/>
  <c r="C299" i="6"/>
  <c r="B299" i="6"/>
  <c r="H298" i="6"/>
  <c r="G298" i="6"/>
  <c r="F298" i="6"/>
  <c r="E298" i="6"/>
  <c r="C298" i="6"/>
  <c r="B298" i="6"/>
  <c r="H296" i="6"/>
  <c r="G296" i="6"/>
  <c r="F296" i="6"/>
  <c r="E296" i="6"/>
  <c r="C296" i="6"/>
  <c r="B296" i="6"/>
  <c r="H295" i="6"/>
  <c r="G295" i="6"/>
  <c r="F295" i="6"/>
  <c r="E295" i="6"/>
  <c r="C295" i="6"/>
  <c r="B295" i="6"/>
  <c r="H294" i="6"/>
  <c r="G294" i="6"/>
  <c r="F294" i="6"/>
  <c r="E294" i="6"/>
  <c r="C294" i="6"/>
  <c r="B294" i="6"/>
  <c r="H293" i="6"/>
  <c r="G293" i="6"/>
  <c r="F293" i="6"/>
  <c r="E293" i="6"/>
  <c r="C293" i="6"/>
  <c r="B293" i="6"/>
  <c r="H291" i="6"/>
  <c r="G291" i="6"/>
  <c r="F291" i="6"/>
  <c r="E291" i="6"/>
  <c r="C291" i="6"/>
  <c r="B291" i="6"/>
  <c r="H290" i="6"/>
  <c r="G290" i="6"/>
  <c r="F290" i="6"/>
  <c r="E290" i="6"/>
  <c r="C290" i="6"/>
  <c r="B290" i="6"/>
  <c r="H289" i="6"/>
  <c r="G289" i="6"/>
  <c r="F289" i="6"/>
  <c r="E289" i="6"/>
  <c r="C289" i="6"/>
  <c r="B289" i="6"/>
  <c r="H288" i="6"/>
  <c r="G288" i="6"/>
  <c r="F288" i="6"/>
  <c r="E288" i="6"/>
  <c r="C288" i="6"/>
  <c r="B288" i="6"/>
  <c r="H275" i="6"/>
  <c r="G275" i="6"/>
  <c r="F275" i="6"/>
  <c r="E275" i="6"/>
  <c r="C275" i="6"/>
  <c r="B275" i="6"/>
  <c r="H274" i="6"/>
  <c r="G274" i="6"/>
  <c r="F274" i="6"/>
  <c r="E274" i="6"/>
  <c r="C274" i="6"/>
  <c r="B274" i="6"/>
  <c r="H273" i="6"/>
  <c r="G273" i="6"/>
  <c r="F273" i="6"/>
  <c r="E273" i="6"/>
  <c r="C273" i="6"/>
  <c r="B273" i="6"/>
  <c r="H272" i="6"/>
  <c r="G272" i="6"/>
  <c r="F272" i="6"/>
  <c r="E272" i="6"/>
  <c r="C272" i="6"/>
  <c r="B272" i="6"/>
  <c r="H270" i="6"/>
  <c r="G270" i="6"/>
  <c r="F270" i="6"/>
  <c r="E270" i="6"/>
  <c r="C270" i="6"/>
  <c r="B270" i="6"/>
  <c r="H269" i="6"/>
  <c r="G269" i="6"/>
  <c r="F269" i="6"/>
  <c r="E269" i="6"/>
  <c r="C269" i="6"/>
  <c r="B269" i="6"/>
  <c r="H268" i="6"/>
  <c r="G268" i="6"/>
  <c r="F268" i="6"/>
  <c r="E268" i="6"/>
  <c r="C268" i="6"/>
  <c r="B268" i="6"/>
  <c r="H267" i="6"/>
  <c r="G267" i="6"/>
  <c r="F267" i="6"/>
  <c r="E267" i="6"/>
  <c r="C267" i="6"/>
  <c r="B267" i="6"/>
  <c r="H265" i="6"/>
  <c r="G265" i="6"/>
  <c r="F265" i="6"/>
  <c r="E265" i="6"/>
  <c r="C265" i="6"/>
  <c r="B265" i="6"/>
  <c r="H264" i="6"/>
  <c r="G264" i="6"/>
  <c r="F264" i="6"/>
  <c r="E264" i="6"/>
  <c r="C264" i="6"/>
  <c r="B264" i="6"/>
  <c r="H263" i="6"/>
  <c r="G263" i="6"/>
  <c r="F263" i="6"/>
  <c r="E263" i="6"/>
  <c r="C263" i="6"/>
  <c r="B263" i="6"/>
  <c r="H262" i="6"/>
  <c r="G262" i="6"/>
  <c r="F262" i="6"/>
  <c r="E262" i="6"/>
  <c r="C262" i="6"/>
  <c r="B262" i="6"/>
  <c r="H260" i="6"/>
  <c r="G260" i="6"/>
  <c r="F260" i="6"/>
  <c r="E260" i="6"/>
  <c r="C260" i="6"/>
  <c r="B260" i="6"/>
  <c r="H259" i="6"/>
  <c r="G259" i="6"/>
  <c r="F259" i="6"/>
  <c r="E259" i="6"/>
  <c r="C259" i="6"/>
  <c r="B259" i="6"/>
  <c r="H258" i="6"/>
  <c r="G258" i="6"/>
  <c r="F258" i="6"/>
  <c r="E258" i="6"/>
  <c r="C258" i="6"/>
  <c r="B258" i="6"/>
  <c r="H257" i="6"/>
  <c r="G257" i="6"/>
  <c r="F257" i="6"/>
  <c r="E257" i="6"/>
  <c r="C257" i="6"/>
  <c r="B257" i="6"/>
  <c r="H244" i="6"/>
  <c r="G244" i="6"/>
  <c r="F244" i="6"/>
  <c r="E244" i="6"/>
  <c r="C244" i="6"/>
  <c r="B244" i="6"/>
  <c r="H243" i="6"/>
  <c r="G243" i="6"/>
  <c r="F243" i="6"/>
  <c r="E243" i="6"/>
  <c r="C243" i="6"/>
  <c r="B243" i="6"/>
  <c r="H242" i="6"/>
  <c r="G242" i="6"/>
  <c r="F242" i="6"/>
  <c r="E242" i="6"/>
  <c r="C242" i="6"/>
  <c r="B242" i="6"/>
  <c r="H241" i="6"/>
  <c r="G241" i="6"/>
  <c r="F241" i="6"/>
  <c r="E241" i="6"/>
  <c r="C241" i="6"/>
  <c r="B241" i="6"/>
  <c r="H239" i="6"/>
  <c r="G239" i="6"/>
  <c r="F239" i="6"/>
  <c r="E239" i="6"/>
  <c r="C239" i="6"/>
  <c r="B239" i="6"/>
  <c r="H238" i="6"/>
  <c r="G238" i="6"/>
  <c r="F238" i="6"/>
  <c r="E238" i="6"/>
  <c r="C238" i="6"/>
  <c r="B238" i="6"/>
  <c r="H237" i="6"/>
  <c r="G237" i="6"/>
  <c r="F237" i="6"/>
  <c r="E237" i="6"/>
  <c r="C237" i="6"/>
  <c r="B237" i="6"/>
  <c r="H236" i="6"/>
  <c r="G236" i="6"/>
  <c r="F236" i="6"/>
  <c r="E236" i="6"/>
  <c r="C236" i="6"/>
  <c r="B236" i="6"/>
  <c r="H234" i="6"/>
  <c r="G234" i="6"/>
  <c r="F234" i="6"/>
  <c r="E234" i="6"/>
  <c r="C234" i="6"/>
  <c r="B234" i="6"/>
  <c r="H233" i="6"/>
  <c r="G233" i="6"/>
  <c r="F233" i="6"/>
  <c r="E233" i="6"/>
  <c r="C233" i="6"/>
  <c r="B233" i="6"/>
  <c r="H232" i="6"/>
  <c r="G232" i="6"/>
  <c r="F232" i="6"/>
  <c r="E232" i="6"/>
  <c r="C232" i="6"/>
  <c r="B232" i="6"/>
  <c r="H231" i="6"/>
  <c r="G231" i="6"/>
  <c r="F231" i="6"/>
  <c r="E231" i="6"/>
  <c r="C231" i="6"/>
  <c r="B231" i="6"/>
  <c r="H229" i="6"/>
  <c r="G229" i="6"/>
  <c r="F229" i="6"/>
  <c r="E229" i="6"/>
  <c r="C229" i="6"/>
  <c r="B229" i="6"/>
  <c r="H228" i="6"/>
  <c r="G228" i="6"/>
  <c r="F228" i="6"/>
  <c r="E228" i="6"/>
  <c r="C228" i="6"/>
  <c r="B228" i="6"/>
  <c r="H227" i="6"/>
  <c r="G227" i="6"/>
  <c r="F227" i="6"/>
  <c r="E227" i="6"/>
  <c r="C227" i="6"/>
  <c r="B227" i="6"/>
  <c r="H226" i="6"/>
  <c r="G226" i="6"/>
  <c r="F226" i="6"/>
  <c r="E226" i="6"/>
  <c r="C226" i="6"/>
  <c r="B226" i="6"/>
  <c r="P213" i="6"/>
  <c r="O213" i="6"/>
  <c r="N213" i="6"/>
  <c r="M213" i="6"/>
  <c r="K213" i="6"/>
  <c r="J213" i="6"/>
  <c r="H213" i="6"/>
  <c r="G213" i="6"/>
  <c r="F213" i="6"/>
  <c r="E213" i="6"/>
  <c r="C213" i="6"/>
  <c r="B213" i="6"/>
  <c r="P212" i="6"/>
  <c r="O212" i="6"/>
  <c r="N212" i="6"/>
  <c r="M212" i="6"/>
  <c r="K212" i="6"/>
  <c r="J212" i="6"/>
  <c r="H212" i="6"/>
  <c r="G212" i="6"/>
  <c r="F212" i="6"/>
  <c r="E212" i="6"/>
  <c r="C212" i="6"/>
  <c r="B212" i="6"/>
  <c r="P211" i="6"/>
  <c r="O211" i="6"/>
  <c r="N211" i="6"/>
  <c r="M211" i="6"/>
  <c r="K211" i="6"/>
  <c r="J211" i="6"/>
  <c r="H211" i="6"/>
  <c r="G211" i="6"/>
  <c r="F211" i="6"/>
  <c r="E211" i="6"/>
  <c r="C211" i="6"/>
  <c r="B211" i="6"/>
  <c r="P210" i="6"/>
  <c r="O210" i="6"/>
  <c r="N210" i="6"/>
  <c r="M210" i="6"/>
  <c r="K210" i="6"/>
  <c r="J210" i="6"/>
  <c r="H210" i="6"/>
  <c r="G210" i="6"/>
  <c r="F210" i="6"/>
  <c r="E210" i="6"/>
  <c r="C210" i="6"/>
  <c r="B210" i="6"/>
  <c r="P208" i="6"/>
  <c r="O208" i="6"/>
  <c r="N208" i="6"/>
  <c r="M208" i="6"/>
  <c r="K208" i="6"/>
  <c r="J208" i="6"/>
  <c r="H208" i="6"/>
  <c r="G208" i="6"/>
  <c r="F208" i="6"/>
  <c r="E208" i="6"/>
  <c r="C208" i="6"/>
  <c r="B208" i="6"/>
  <c r="P207" i="6"/>
  <c r="O207" i="6"/>
  <c r="N207" i="6"/>
  <c r="M207" i="6"/>
  <c r="K207" i="6"/>
  <c r="J207" i="6"/>
  <c r="H207" i="6"/>
  <c r="G207" i="6"/>
  <c r="F207" i="6"/>
  <c r="E207" i="6"/>
  <c r="C207" i="6"/>
  <c r="B207" i="6"/>
  <c r="P206" i="6"/>
  <c r="O206" i="6"/>
  <c r="N206" i="6"/>
  <c r="M206" i="6"/>
  <c r="K206" i="6"/>
  <c r="J206" i="6"/>
  <c r="H206" i="6"/>
  <c r="G206" i="6"/>
  <c r="F206" i="6"/>
  <c r="E206" i="6"/>
  <c r="C206" i="6"/>
  <c r="B206" i="6"/>
  <c r="P205" i="6"/>
  <c r="O205" i="6"/>
  <c r="N205" i="6"/>
  <c r="M205" i="6"/>
  <c r="K205" i="6"/>
  <c r="J205" i="6"/>
  <c r="H205" i="6"/>
  <c r="G205" i="6"/>
  <c r="F205" i="6"/>
  <c r="E205" i="6"/>
  <c r="C205" i="6"/>
  <c r="B205" i="6"/>
  <c r="P203" i="6"/>
  <c r="O203" i="6"/>
  <c r="N203" i="6"/>
  <c r="M203" i="6"/>
  <c r="K203" i="6"/>
  <c r="J203" i="6"/>
  <c r="H203" i="6"/>
  <c r="G203" i="6"/>
  <c r="F203" i="6"/>
  <c r="E203" i="6"/>
  <c r="C203" i="6"/>
  <c r="B203" i="6"/>
  <c r="P202" i="6"/>
  <c r="O202" i="6"/>
  <c r="N202" i="6"/>
  <c r="M202" i="6"/>
  <c r="K202" i="6"/>
  <c r="J202" i="6"/>
  <c r="H202" i="6"/>
  <c r="G202" i="6"/>
  <c r="F202" i="6"/>
  <c r="E202" i="6"/>
  <c r="C202" i="6"/>
  <c r="B202" i="6"/>
  <c r="P201" i="6"/>
  <c r="O201" i="6"/>
  <c r="N201" i="6"/>
  <c r="M201" i="6"/>
  <c r="K201" i="6"/>
  <c r="J201" i="6"/>
  <c r="H201" i="6"/>
  <c r="G201" i="6"/>
  <c r="F201" i="6"/>
  <c r="E201" i="6"/>
  <c r="C201" i="6"/>
  <c r="B201" i="6"/>
  <c r="P200" i="6"/>
  <c r="O200" i="6"/>
  <c r="N200" i="6"/>
  <c r="M200" i="6"/>
  <c r="K200" i="6"/>
  <c r="J200" i="6"/>
  <c r="H200" i="6"/>
  <c r="G200" i="6"/>
  <c r="F200" i="6"/>
  <c r="E200" i="6"/>
  <c r="C200" i="6"/>
  <c r="B200" i="6"/>
  <c r="P198" i="6"/>
  <c r="O198" i="6"/>
  <c r="N198" i="6"/>
  <c r="M198" i="6"/>
  <c r="K198" i="6"/>
  <c r="J198" i="6"/>
  <c r="H198" i="6"/>
  <c r="G198" i="6"/>
  <c r="F198" i="6"/>
  <c r="E198" i="6"/>
  <c r="C198" i="6"/>
  <c r="B198" i="6"/>
  <c r="P197" i="6"/>
  <c r="O197" i="6"/>
  <c r="N197" i="6"/>
  <c r="M197" i="6"/>
  <c r="K197" i="6"/>
  <c r="J197" i="6"/>
  <c r="H197" i="6"/>
  <c r="G197" i="6"/>
  <c r="F197" i="6"/>
  <c r="E197" i="6"/>
  <c r="C197" i="6"/>
  <c r="B197" i="6"/>
  <c r="P196" i="6"/>
  <c r="O196" i="6"/>
  <c r="N196" i="6"/>
  <c r="M196" i="6"/>
  <c r="K196" i="6"/>
  <c r="J196" i="6"/>
  <c r="H196" i="6"/>
  <c r="G196" i="6"/>
  <c r="F196" i="6"/>
  <c r="E196" i="6"/>
  <c r="C196" i="6"/>
  <c r="B196" i="6"/>
  <c r="P195" i="6"/>
  <c r="O195" i="6"/>
  <c r="N195" i="6"/>
  <c r="M195" i="6"/>
  <c r="K195" i="6"/>
  <c r="J195" i="6"/>
  <c r="H195" i="6"/>
  <c r="G195" i="6"/>
  <c r="F195" i="6"/>
  <c r="E195" i="6"/>
  <c r="C195" i="6"/>
  <c r="B195" i="6"/>
  <c r="P182" i="6"/>
  <c r="O182" i="6"/>
  <c r="N182" i="6"/>
  <c r="M182" i="6"/>
  <c r="K182" i="6"/>
  <c r="J182" i="6"/>
  <c r="H182" i="6"/>
  <c r="G182" i="6"/>
  <c r="F182" i="6"/>
  <c r="E182" i="6"/>
  <c r="C182" i="6"/>
  <c r="B182" i="6"/>
  <c r="P181" i="6"/>
  <c r="O181" i="6"/>
  <c r="N181" i="6"/>
  <c r="M181" i="6"/>
  <c r="K181" i="6"/>
  <c r="J181" i="6"/>
  <c r="H181" i="6"/>
  <c r="G181" i="6"/>
  <c r="F181" i="6"/>
  <c r="E181" i="6"/>
  <c r="C181" i="6"/>
  <c r="B181" i="6"/>
  <c r="P180" i="6"/>
  <c r="O180" i="6"/>
  <c r="N180" i="6"/>
  <c r="M180" i="6"/>
  <c r="K180" i="6"/>
  <c r="J180" i="6"/>
  <c r="H180" i="6"/>
  <c r="G180" i="6"/>
  <c r="F180" i="6"/>
  <c r="E180" i="6"/>
  <c r="C180" i="6"/>
  <c r="B180" i="6"/>
  <c r="P179" i="6"/>
  <c r="O179" i="6"/>
  <c r="N179" i="6"/>
  <c r="M179" i="6"/>
  <c r="K179" i="6"/>
  <c r="J179" i="6"/>
  <c r="H179" i="6"/>
  <c r="G179" i="6"/>
  <c r="F179" i="6"/>
  <c r="E179" i="6"/>
  <c r="C179" i="6"/>
  <c r="B179" i="6"/>
  <c r="P177" i="6"/>
  <c r="O177" i="6"/>
  <c r="N177" i="6"/>
  <c r="M177" i="6"/>
  <c r="K177" i="6"/>
  <c r="J177" i="6"/>
  <c r="H177" i="6"/>
  <c r="G177" i="6"/>
  <c r="F177" i="6"/>
  <c r="E177" i="6"/>
  <c r="C177" i="6"/>
  <c r="B177" i="6"/>
  <c r="P176" i="6"/>
  <c r="O176" i="6"/>
  <c r="N176" i="6"/>
  <c r="M176" i="6"/>
  <c r="K176" i="6"/>
  <c r="J176" i="6"/>
  <c r="H176" i="6"/>
  <c r="G176" i="6"/>
  <c r="F176" i="6"/>
  <c r="E176" i="6"/>
  <c r="C176" i="6"/>
  <c r="B176" i="6"/>
  <c r="P175" i="6"/>
  <c r="O175" i="6"/>
  <c r="N175" i="6"/>
  <c r="M175" i="6"/>
  <c r="K175" i="6"/>
  <c r="J175" i="6"/>
  <c r="H175" i="6"/>
  <c r="G175" i="6"/>
  <c r="F175" i="6"/>
  <c r="E175" i="6"/>
  <c r="C175" i="6"/>
  <c r="B175" i="6"/>
  <c r="P174" i="6"/>
  <c r="O174" i="6"/>
  <c r="N174" i="6"/>
  <c r="M174" i="6"/>
  <c r="K174" i="6"/>
  <c r="J174" i="6"/>
  <c r="H174" i="6"/>
  <c r="G174" i="6"/>
  <c r="F174" i="6"/>
  <c r="E174" i="6"/>
  <c r="C174" i="6"/>
  <c r="B174" i="6"/>
  <c r="P172" i="6"/>
  <c r="O172" i="6"/>
  <c r="N172" i="6"/>
  <c r="M172" i="6"/>
  <c r="K172" i="6"/>
  <c r="J172" i="6"/>
  <c r="H172" i="6"/>
  <c r="G172" i="6"/>
  <c r="F172" i="6"/>
  <c r="E172" i="6"/>
  <c r="C172" i="6"/>
  <c r="B172" i="6"/>
  <c r="P171" i="6"/>
  <c r="O171" i="6"/>
  <c r="N171" i="6"/>
  <c r="M171" i="6"/>
  <c r="K171" i="6"/>
  <c r="J171" i="6"/>
  <c r="H171" i="6"/>
  <c r="G171" i="6"/>
  <c r="F171" i="6"/>
  <c r="E171" i="6"/>
  <c r="C171" i="6"/>
  <c r="B171" i="6"/>
  <c r="P170" i="6"/>
  <c r="O170" i="6"/>
  <c r="N170" i="6"/>
  <c r="M170" i="6"/>
  <c r="K170" i="6"/>
  <c r="J170" i="6"/>
  <c r="H170" i="6"/>
  <c r="G170" i="6"/>
  <c r="F170" i="6"/>
  <c r="E170" i="6"/>
  <c r="C170" i="6"/>
  <c r="B170" i="6"/>
  <c r="P169" i="6"/>
  <c r="O169" i="6"/>
  <c r="N169" i="6"/>
  <c r="M169" i="6"/>
  <c r="K169" i="6"/>
  <c r="J169" i="6"/>
  <c r="H169" i="6"/>
  <c r="G169" i="6"/>
  <c r="F169" i="6"/>
  <c r="E169" i="6"/>
  <c r="C169" i="6"/>
  <c r="B169" i="6"/>
  <c r="P167" i="6"/>
  <c r="O167" i="6"/>
  <c r="N167" i="6"/>
  <c r="M167" i="6"/>
  <c r="K167" i="6"/>
  <c r="J167" i="6"/>
  <c r="H167" i="6"/>
  <c r="G167" i="6"/>
  <c r="F167" i="6"/>
  <c r="E167" i="6"/>
  <c r="C167" i="6"/>
  <c r="B167" i="6"/>
  <c r="P166" i="6"/>
  <c r="O166" i="6"/>
  <c r="N166" i="6"/>
  <c r="M166" i="6"/>
  <c r="K166" i="6"/>
  <c r="J166" i="6"/>
  <c r="H166" i="6"/>
  <c r="G166" i="6"/>
  <c r="F166" i="6"/>
  <c r="E166" i="6"/>
  <c r="C166" i="6"/>
  <c r="B166" i="6"/>
  <c r="P165" i="6"/>
  <c r="O165" i="6"/>
  <c r="N165" i="6"/>
  <c r="M165" i="6"/>
  <c r="K165" i="6"/>
  <c r="J165" i="6"/>
  <c r="H165" i="6"/>
  <c r="G165" i="6"/>
  <c r="F165" i="6"/>
  <c r="E165" i="6"/>
  <c r="C165" i="6"/>
  <c r="B165" i="6"/>
  <c r="P164" i="6"/>
  <c r="O164" i="6"/>
  <c r="N164" i="6"/>
  <c r="M164" i="6"/>
  <c r="K164" i="6"/>
  <c r="J164" i="6"/>
  <c r="H164" i="6"/>
  <c r="G164" i="6"/>
  <c r="F164" i="6"/>
  <c r="E164" i="6"/>
  <c r="C164" i="6"/>
  <c r="B164" i="6"/>
  <c r="P152" i="6"/>
  <c r="O152" i="6"/>
  <c r="N152" i="6"/>
  <c r="M152" i="6"/>
  <c r="K152" i="6"/>
  <c r="J152" i="6"/>
  <c r="H152" i="6"/>
  <c r="G152" i="6"/>
  <c r="F152" i="6"/>
  <c r="E152" i="6"/>
  <c r="C152" i="6"/>
  <c r="B152" i="6"/>
  <c r="P151" i="6"/>
  <c r="O151" i="6"/>
  <c r="N151" i="6"/>
  <c r="M151" i="6"/>
  <c r="K151" i="6"/>
  <c r="J151" i="6"/>
  <c r="H151" i="6"/>
  <c r="G151" i="6"/>
  <c r="F151" i="6"/>
  <c r="E151" i="6"/>
  <c r="C151" i="6"/>
  <c r="B151" i="6"/>
  <c r="P150" i="6"/>
  <c r="O150" i="6"/>
  <c r="N150" i="6"/>
  <c r="M150" i="6"/>
  <c r="K150" i="6"/>
  <c r="J150" i="6"/>
  <c r="H150" i="6"/>
  <c r="G150" i="6"/>
  <c r="F150" i="6"/>
  <c r="E150" i="6"/>
  <c r="C150" i="6"/>
  <c r="B150" i="6"/>
  <c r="P149" i="6"/>
  <c r="O149" i="6"/>
  <c r="N149" i="6"/>
  <c r="M149" i="6"/>
  <c r="K149" i="6"/>
  <c r="J149" i="6"/>
  <c r="H149" i="6"/>
  <c r="G149" i="6"/>
  <c r="F149" i="6"/>
  <c r="E149" i="6"/>
  <c r="C149" i="6"/>
  <c r="B149" i="6"/>
  <c r="P147" i="6"/>
  <c r="O147" i="6"/>
  <c r="N147" i="6"/>
  <c r="M147" i="6"/>
  <c r="K147" i="6"/>
  <c r="J147" i="6"/>
  <c r="H147" i="6"/>
  <c r="G147" i="6"/>
  <c r="F147" i="6"/>
  <c r="E147" i="6"/>
  <c r="C147" i="6"/>
  <c r="B147" i="6"/>
  <c r="P146" i="6"/>
  <c r="O146" i="6"/>
  <c r="N146" i="6"/>
  <c r="M146" i="6"/>
  <c r="K146" i="6"/>
  <c r="J146" i="6"/>
  <c r="H146" i="6"/>
  <c r="G146" i="6"/>
  <c r="F146" i="6"/>
  <c r="E146" i="6"/>
  <c r="C146" i="6"/>
  <c r="B146" i="6"/>
  <c r="P145" i="6"/>
  <c r="O145" i="6"/>
  <c r="N145" i="6"/>
  <c r="M145" i="6"/>
  <c r="K145" i="6"/>
  <c r="J145" i="6"/>
  <c r="H145" i="6"/>
  <c r="G145" i="6"/>
  <c r="F145" i="6"/>
  <c r="E145" i="6"/>
  <c r="C145" i="6"/>
  <c r="B145" i="6"/>
  <c r="P144" i="6"/>
  <c r="O144" i="6"/>
  <c r="N144" i="6"/>
  <c r="M144" i="6"/>
  <c r="K144" i="6"/>
  <c r="J144" i="6"/>
  <c r="H144" i="6"/>
  <c r="G144" i="6"/>
  <c r="F144" i="6"/>
  <c r="E144" i="6"/>
  <c r="C144" i="6"/>
  <c r="B144" i="6"/>
  <c r="P142" i="6"/>
  <c r="O142" i="6"/>
  <c r="N142" i="6"/>
  <c r="M142" i="6"/>
  <c r="K142" i="6"/>
  <c r="J142" i="6"/>
  <c r="H142" i="6"/>
  <c r="G142" i="6"/>
  <c r="F142" i="6"/>
  <c r="E142" i="6"/>
  <c r="C142" i="6"/>
  <c r="B142" i="6"/>
  <c r="P141" i="6"/>
  <c r="O141" i="6"/>
  <c r="N141" i="6"/>
  <c r="M141" i="6"/>
  <c r="K141" i="6"/>
  <c r="J141" i="6"/>
  <c r="H141" i="6"/>
  <c r="G141" i="6"/>
  <c r="F141" i="6"/>
  <c r="E141" i="6"/>
  <c r="C141" i="6"/>
  <c r="B141" i="6"/>
  <c r="P140" i="6"/>
  <c r="O140" i="6"/>
  <c r="N140" i="6"/>
  <c r="M140" i="6"/>
  <c r="K140" i="6"/>
  <c r="J140" i="6"/>
  <c r="H140" i="6"/>
  <c r="G140" i="6"/>
  <c r="F140" i="6"/>
  <c r="E140" i="6"/>
  <c r="C140" i="6"/>
  <c r="B140" i="6"/>
  <c r="P139" i="6"/>
  <c r="O139" i="6"/>
  <c r="N139" i="6"/>
  <c r="M139" i="6"/>
  <c r="K139" i="6"/>
  <c r="J139" i="6"/>
  <c r="H139" i="6"/>
  <c r="G139" i="6"/>
  <c r="F139" i="6"/>
  <c r="E139" i="6"/>
  <c r="C139" i="6"/>
  <c r="B139" i="6"/>
  <c r="P137" i="6"/>
  <c r="O137" i="6"/>
  <c r="N137" i="6"/>
  <c r="M137" i="6"/>
  <c r="K137" i="6"/>
  <c r="J137" i="6"/>
  <c r="H137" i="6"/>
  <c r="G137" i="6"/>
  <c r="F137" i="6"/>
  <c r="E137" i="6"/>
  <c r="C137" i="6"/>
  <c r="B137" i="6"/>
  <c r="P136" i="6"/>
  <c r="O136" i="6"/>
  <c r="N136" i="6"/>
  <c r="M136" i="6"/>
  <c r="K136" i="6"/>
  <c r="J136" i="6"/>
  <c r="H136" i="6"/>
  <c r="G136" i="6"/>
  <c r="F136" i="6"/>
  <c r="E136" i="6"/>
  <c r="C136" i="6"/>
  <c r="B136" i="6"/>
  <c r="P135" i="6"/>
  <c r="O135" i="6"/>
  <c r="N135" i="6"/>
  <c r="M135" i="6"/>
  <c r="K135" i="6"/>
  <c r="J135" i="6"/>
  <c r="H135" i="6"/>
  <c r="G135" i="6"/>
  <c r="F135" i="6"/>
  <c r="E135" i="6"/>
  <c r="C135" i="6"/>
  <c r="B135" i="6"/>
  <c r="P134" i="6"/>
  <c r="O134" i="6"/>
  <c r="N134" i="6"/>
  <c r="M134" i="6"/>
  <c r="K134" i="6"/>
  <c r="J134" i="6"/>
  <c r="H134" i="6"/>
  <c r="G134" i="6"/>
  <c r="F134" i="6"/>
  <c r="E134" i="6"/>
  <c r="C134" i="6"/>
  <c r="B134" i="6"/>
  <c r="P121" i="6"/>
  <c r="O121" i="6"/>
  <c r="N121" i="6"/>
  <c r="M121" i="6"/>
  <c r="K121" i="6"/>
  <c r="J121" i="6"/>
  <c r="H121" i="6"/>
  <c r="G121" i="6"/>
  <c r="F121" i="6"/>
  <c r="E121" i="6"/>
  <c r="C121" i="6"/>
  <c r="B121" i="6"/>
  <c r="P120" i="6"/>
  <c r="O120" i="6"/>
  <c r="N120" i="6"/>
  <c r="M120" i="6"/>
  <c r="K120" i="6"/>
  <c r="J120" i="6"/>
  <c r="H120" i="6"/>
  <c r="G120" i="6"/>
  <c r="F120" i="6"/>
  <c r="E120" i="6"/>
  <c r="C120" i="6"/>
  <c r="B120" i="6"/>
  <c r="P119" i="6"/>
  <c r="O119" i="6"/>
  <c r="N119" i="6"/>
  <c r="M119" i="6"/>
  <c r="K119" i="6"/>
  <c r="J119" i="6"/>
  <c r="H119" i="6"/>
  <c r="G119" i="6"/>
  <c r="F119" i="6"/>
  <c r="E119" i="6"/>
  <c r="C119" i="6"/>
  <c r="B119" i="6"/>
  <c r="P118" i="6"/>
  <c r="O118" i="6"/>
  <c r="N118" i="6"/>
  <c r="M118" i="6"/>
  <c r="K118" i="6"/>
  <c r="J118" i="6"/>
  <c r="H118" i="6"/>
  <c r="G118" i="6"/>
  <c r="F118" i="6"/>
  <c r="E118" i="6"/>
  <c r="C118" i="6"/>
  <c r="B118" i="6"/>
  <c r="P116" i="6"/>
  <c r="O116" i="6"/>
  <c r="N116" i="6"/>
  <c r="M116" i="6"/>
  <c r="K116" i="6"/>
  <c r="J116" i="6"/>
  <c r="H116" i="6"/>
  <c r="G116" i="6"/>
  <c r="F116" i="6"/>
  <c r="E116" i="6"/>
  <c r="C116" i="6"/>
  <c r="B116" i="6"/>
  <c r="P115" i="6"/>
  <c r="O115" i="6"/>
  <c r="N115" i="6"/>
  <c r="M115" i="6"/>
  <c r="K115" i="6"/>
  <c r="J115" i="6"/>
  <c r="H115" i="6"/>
  <c r="G115" i="6"/>
  <c r="F115" i="6"/>
  <c r="E115" i="6"/>
  <c r="C115" i="6"/>
  <c r="B115" i="6"/>
  <c r="P114" i="6"/>
  <c r="O114" i="6"/>
  <c r="N114" i="6"/>
  <c r="M114" i="6"/>
  <c r="K114" i="6"/>
  <c r="J114" i="6"/>
  <c r="H114" i="6"/>
  <c r="G114" i="6"/>
  <c r="F114" i="6"/>
  <c r="E114" i="6"/>
  <c r="C114" i="6"/>
  <c r="B114" i="6"/>
  <c r="P113" i="6"/>
  <c r="O113" i="6"/>
  <c r="N113" i="6"/>
  <c r="M113" i="6"/>
  <c r="K113" i="6"/>
  <c r="J113" i="6"/>
  <c r="H113" i="6"/>
  <c r="G113" i="6"/>
  <c r="F113" i="6"/>
  <c r="E113" i="6"/>
  <c r="C113" i="6"/>
  <c r="B113" i="6"/>
  <c r="P111" i="6"/>
  <c r="O111" i="6"/>
  <c r="N111" i="6"/>
  <c r="M111" i="6"/>
  <c r="K111" i="6"/>
  <c r="J111" i="6"/>
  <c r="H111" i="6"/>
  <c r="G111" i="6"/>
  <c r="F111" i="6"/>
  <c r="E111" i="6"/>
  <c r="C111" i="6"/>
  <c r="B111" i="6"/>
  <c r="P110" i="6"/>
  <c r="O110" i="6"/>
  <c r="N110" i="6"/>
  <c r="M110" i="6"/>
  <c r="K110" i="6"/>
  <c r="J110" i="6"/>
  <c r="H110" i="6"/>
  <c r="G110" i="6"/>
  <c r="F110" i="6"/>
  <c r="E110" i="6"/>
  <c r="C110" i="6"/>
  <c r="B110" i="6"/>
  <c r="P109" i="6"/>
  <c r="O109" i="6"/>
  <c r="N109" i="6"/>
  <c r="M109" i="6"/>
  <c r="K109" i="6"/>
  <c r="J109" i="6"/>
  <c r="H109" i="6"/>
  <c r="G109" i="6"/>
  <c r="F109" i="6"/>
  <c r="E109" i="6"/>
  <c r="C109" i="6"/>
  <c r="B109" i="6"/>
  <c r="P108" i="6"/>
  <c r="O108" i="6"/>
  <c r="N108" i="6"/>
  <c r="M108" i="6"/>
  <c r="K108" i="6"/>
  <c r="J108" i="6"/>
  <c r="H108" i="6"/>
  <c r="G108" i="6"/>
  <c r="F108" i="6"/>
  <c r="E108" i="6"/>
  <c r="C108" i="6"/>
  <c r="B108" i="6"/>
  <c r="P106" i="6"/>
  <c r="O106" i="6"/>
  <c r="N106" i="6"/>
  <c r="M106" i="6"/>
  <c r="K106" i="6"/>
  <c r="J106" i="6"/>
  <c r="H106" i="6"/>
  <c r="G106" i="6"/>
  <c r="F106" i="6"/>
  <c r="E106" i="6"/>
  <c r="C106" i="6"/>
  <c r="B106" i="6"/>
  <c r="P105" i="6"/>
  <c r="O105" i="6"/>
  <c r="N105" i="6"/>
  <c r="M105" i="6"/>
  <c r="K105" i="6"/>
  <c r="J105" i="6"/>
  <c r="H105" i="6"/>
  <c r="G105" i="6"/>
  <c r="F105" i="6"/>
  <c r="E105" i="6"/>
  <c r="C105" i="6"/>
  <c r="B105" i="6"/>
  <c r="P104" i="6"/>
  <c r="O104" i="6"/>
  <c r="N104" i="6"/>
  <c r="M104" i="6"/>
  <c r="K104" i="6"/>
  <c r="J104" i="6"/>
  <c r="H104" i="6"/>
  <c r="G104" i="6"/>
  <c r="F104" i="6"/>
  <c r="E104" i="6"/>
  <c r="C104" i="6"/>
  <c r="B104" i="6"/>
  <c r="P103" i="6"/>
  <c r="O103" i="6"/>
  <c r="N103" i="6"/>
  <c r="M103" i="6"/>
  <c r="K103" i="6"/>
  <c r="J103" i="6"/>
  <c r="H103" i="6"/>
  <c r="G103" i="6"/>
  <c r="F103" i="6"/>
  <c r="E103" i="6"/>
  <c r="C103" i="6"/>
  <c r="B103" i="6"/>
  <c r="P90" i="6"/>
  <c r="O90" i="6"/>
  <c r="N90" i="6"/>
  <c r="M90" i="6"/>
  <c r="K90" i="6"/>
  <c r="J90" i="6"/>
  <c r="H90" i="6"/>
  <c r="G90" i="6"/>
  <c r="F90" i="6"/>
  <c r="E90" i="6"/>
  <c r="C90" i="6"/>
  <c r="B90" i="6"/>
  <c r="P89" i="6"/>
  <c r="O89" i="6"/>
  <c r="N89" i="6"/>
  <c r="M89" i="6"/>
  <c r="K89" i="6"/>
  <c r="J89" i="6"/>
  <c r="H89" i="6"/>
  <c r="G89" i="6"/>
  <c r="F89" i="6"/>
  <c r="E89" i="6"/>
  <c r="C89" i="6"/>
  <c r="B89" i="6"/>
  <c r="P88" i="6"/>
  <c r="O88" i="6"/>
  <c r="N88" i="6"/>
  <c r="M88" i="6"/>
  <c r="K88" i="6"/>
  <c r="J88" i="6"/>
  <c r="H88" i="6"/>
  <c r="G88" i="6"/>
  <c r="F88" i="6"/>
  <c r="E88" i="6"/>
  <c r="C88" i="6"/>
  <c r="B88" i="6"/>
  <c r="P87" i="6"/>
  <c r="O87" i="6"/>
  <c r="N87" i="6"/>
  <c r="M87" i="6"/>
  <c r="K87" i="6"/>
  <c r="J87" i="6"/>
  <c r="H87" i="6"/>
  <c r="G87" i="6"/>
  <c r="F87" i="6"/>
  <c r="E87" i="6"/>
  <c r="C87" i="6"/>
  <c r="B87" i="6"/>
  <c r="P85" i="6"/>
  <c r="O85" i="6"/>
  <c r="N85" i="6"/>
  <c r="M85" i="6"/>
  <c r="K85" i="6"/>
  <c r="J85" i="6"/>
  <c r="H85" i="6"/>
  <c r="G85" i="6"/>
  <c r="F85" i="6"/>
  <c r="E85" i="6"/>
  <c r="C85" i="6"/>
  <c r="B85" i="6"/>
  <c r="P84" i="6"/>
  <c r="O84" i="6"/>
  <c r="N84" i="6"/>
  <c r="M84" i="6"/>
  <c r="K84" i="6"/>
  <c r="J84" i="6"/>
  <c r="H84" i="6"/>
  <c r="G84" i="6"/>
  <c r="F84" i="6"/>
  <c r="E84" i="6"/>
  <c r="C84" i="6"/>
  <c r="B84" i="6"/>
  <c r="P83" i="6"/>
  <c r="O83" i="6"/>
  <c r="N83" i="6"/>
  <c r="M83" i="6"/>
  <c r="K83" i="6"/>
  <c r="J83" i="6"/>
  <c r="H83" i="6"/>
  <c r="G83" i="6"/>
  <c r="F83" i="6"/>
  <c r="E83" i="6"/>
  <c r="C83" i="6"/>
  <c r="B83" i="6"/>
  <c r="P82" i="6"/>
  <c r="O82" i="6"/>
  <c r="N82" i="6"/>
  <c r="M82" i="6"/>
  <c r="K82" i="6"/>
  <c r="J82" i="6"/>
  <c r="H82" i="6"/>
  <c r="G82" i="6"/>
  <c r="F82" i="6"/>
  <c r="E82" i="6"/>
  <c r="C82" i="6"/>
  <c r="B82" i="6"/>
  <c r="P80" i="6"/>
  <c r="O80" i="6"/>
  <c r="N80" i="6"/>
  <c r="M80" i="6"/>
  <c r="K80" i="6"/>
  <c r="J80" i="6"/>
  <c r="H80" i="6"/>
  <c r="G80" i="6"/>
  <c r="F80" i="6"/>
  <c r="E80" i="6"/>
  <c r="C80" i="6"/>
  <c r="B80" i="6"/>
  <c r="P79" i="6"/>
  <c r="O79" i="6"/>
  <c r="N79" i="6"/>
  <c r="M79" i="6"/>
  <c r="K79" i="6"/>
  <c r="J79" i="6"/>
  <c r="H79" i="6"/>
  <c r="G79" i="6"/>
  <c r="F79" i="6"/>
  <c r="E79" i="6"/>
  <c r="C79" i="6"/>
  <c r="B79" i="6"/>
  <c r="P78" i="6"/>
  <c r="O78" i="6"/>
  <c r="N78" i="6"/>
  <c r="M78" i="6"/>
  <c r="K78" i="6"/>
  <c r="J78" i="6"/>
  <c r="H78" i="6"/>
  <c r="G78" i="6"/>
  <c r="F78" i="6"/>
  <c r="E78" i="6"/>
  <c r="C78" i="6"/>
  <c r="B78" i="6"/>
  <c r="P77" i="6"/>
  <c r="O77" i="6"/>
  <c r="N77" i="6"/>
  <c r="M77" i="6"/>
  <c r="K77" i="6"/>
  <c r="J77" i="6"/>
  <c r="H77" i="6"/>
  <c r="G77" i="6"/>
  <c r="F77" i="6"/>
  <c r="E77" i="6"/>
  <c r="C77" i="6"/>
  <c r="B77" i="6"/>
  <c r="P75" i="6"/>
  <c r="O75" i="6"/>
  <c r="N75" i="6"/>
  <c r="M75" i="6"/>
  <c r="K75" i="6"/>
  <c r="J75" i="6"/>
  <c r="H75" i="6"/>
  <c r="G75" i="6"/>
  <c r="F75" i="6"/>
  <c r="E75" i="6"/>
  <c r="C75" i="6"/>
  <c r="B75" i="6"/>
  <c r="P74" i="6"/>
  <c r="O74" i="6"/>
  <c r="N74" i="6"/>
  <c r="M74" i="6"/>
  <c r="K74" i="6"/>
  <c r="J74" i="6"/>
  <c r="H74" i="6"/>
  <c r="G74" i="6"/>
  <c r="F74" i="6"/>
  <c r="E74" i="6"/>
  <c r="C74" i="6"/>
  <c r="B74" i="6"/>
  <c r="P73" i="6"/>
  <c r="O73" i="6"/>
  <c r="N73" i="6"/>
  <c r="M73" i="6"/>
  <c r="K73" i="6"/>
  <c r="J73" i="6"/>
  <c r="H73" i="6"/>
  <c r="G73" i="6"/>
  <c r="F73" i="6"/>
  <c r="E73" i="6"/>
  <c r="C73" i="6"/>
  <c r="B73" i="6"/>
  <c r="P72" i="6"/>
  <c r="O72" i="6"/>
  <c r="N72" i="6"/>
  <c r="M72" i="6"/>
  <c r="K72" i="6"/>
  <c r="J72" i="6"/>
  <c r="H72" i="6"/>
  <c r="G72" i="6"/>
  <c r="F72" i="6"/>
  <c r="E72" i="6"/>
  <c r="C72" i="6"/>
  <c r="B72" i="6"/>
  <c r="P59" i="6"/>
  <c r="O59" i="6"/>
  <c r="N59" i="6"/>
  <c r="M59" i="6"/>
  <c r="K59" i="6"/>
  <c r="J59" i="6"/>
  <c r="H59" i="6"/>
  <c r="G59" i="6"/>
  <c r="F59" i="6"/>
  <c r="E59" i="6"/>
  <c r="C59" i="6"/>
  <c r="B59" i="6"/>
  <c r="P58" i="6"/>
  <c r="O58" i="6"/>
  <c r="N58" i="6"/>
  <c r="M58" i="6"/>
  <c r="K58" i="6"/>
  <c r="J58" i="6"/>
  <c r="H58" i="6"/>
  <c r="G58" i="6"/>
  <c r="F58" i="6"/>
  <c r="E58" i="6"/>
  <c r="C58" i="6"/>
  <c r="B58" i="6"/>
  <c r="P57" i="6"/>
  <c r="O57" i="6"/>
  <c r="N57" i="6"/>
  <c r="M57" i="6"/>
  <c r="K57" i="6"/>
  <c r="J57" i="6"/>
  <c r="H57" i="6"/>
  <c r="G57" i="6"/>
  <c r="F57" i="6"/>
  <c r="E57" i="6"/>
  <c r="C57" i="6"/>
  <c r="B57" i="6"/>
  <c r="P56" i="6"/>
  <c r="O56" i="6"/>
  <c r="N56" i="6"/>
  <c r="M56" i="6"/>
  <c r="K56" i="6"/>
  <c r="J56" i="6"/>
  <c r="H56" i="6"/>
  <c r="G56" i="6"/>
  <c r="F56" i="6"/>
  <c r="E56" i="6"/>
  <c r="C56" i="6"/>
  <c r="B56" i="6"/>
  <c r="P54" i="6"/>
  <c r="O54" i="6"/>
  <c r="N54" i="6"/>
  <c r="M54" i="6"/>
  <c r="K54" i="6"/>
  <c r="J54" i="6"/>
  <c r="H54" i="6"/>
  <c r="G54" i="6"/>
  <c r="F54" i="6"/>
  <c r="E54" i="6"/>
  <c r="C54" i="6"/>
  <c r="B54" i="6"/>
  <c r="P53" i="6"/>
  <c r="O53" i="6"/>
  <c r="N53" i="6"/>
  <c r="M53" i="6"/>
  <c r="K53" i="6"/>
  <c r="J53" i="6"/>
  <c r="H53" i="6"/>
  <c r="G53" i="6"/>
  <c r="F53" i="6"/>
  <c r="E53" i="6"/>
  <c r="C53" i="6"/>
  <c r="B53" i="6"/>
  <c r="P52" i="6"/>
  <c r="O52" i="6"/>
  <c r="N52" i="6"/>
  <c r="M52" i="6"/>
  <c r="K52" i="6"/>
  <c r="J52" i="6"/>
  <c r="H52" i="6"/>
  <c r="G52" i="6"/>
  <c r="F52" i="6"/>
  <c r="E52" i="6"/>
  <c r="C52" i="6"/>
  <c r="B52" i="6"/>
  <c r="P51" i="6"/>
  <c r="O51" i="6"/>
  <c r="N51" i="6"/>
  <c r="M51" i="6"/>
  <c r="K51" i="6"/>
  <c r="J51" i="6"/>
  <c r="H51" i="6"/>
  <c r="G51" i="6"/>
  <c r="F51" i="6"/>
  <c r="E51" i="6"/>
  <c r="C51" i="6"/>
  <c r="B51" i="6"/>
  <c r="P49" i="6"/>
  <c r="O49" i="6"/>
  <c r="N49" i="6"/>
  <c r="M49" i="6"/>
  <c r="K49" i="6"/>
  <c r="J49" i="6"/>
  <c r="H49" i="6"/>
  <c r="G49" i="6"/>
  <c r="F49" i="6"/>
  <c r="E49" i="6"/>
  <c r="C49" i="6"/>
  <c r="B49" i="6"/>
  <c r="P48" i="6"/>
  <c r="O48" i="6"/>
  <c r="N48" i="6"/>
  <c r="M48" i="6"/>
  <c r="K48" i="6"/>
  <c r="J48" i="6"/>
  <c r="H48" i="6"/>
  <c r="G48" i="6"/>
  <c r="F48" i="6"/>
  <c r="E48" i="6"/>
  <c r="C48" i="6"/>
  <c r="B48" i="6"/>
  <c r="P47" i="6"/>
  <c r="O47" i="6"/>
  <c r="N47" i="6"/>
  <c r="M47" i="6"/>
  <c r="K47" i="6"/>
  <c r="J47" i="6"/>
  <c r="H47" i="6"/>
  <c r="G47" i="6"/>
  <c r="F47" i="6"/>
  <c r="E47" i="6"/>
  <c r="C47" i="6"/>
  <c r="B47" i="6"/>
  <c r="P46" i="6"/>
  <c r="O46" i="6"/>
  <c r="N46" i="6"/>
  <c r="M46" i="6"/>
  <c r="K46" i="6"/>
  <c r="J46" i="6"/>
  <c r="H46" i="6"/>
  <c r="G46" i="6"/>
  <c r="F46" i="6"/>
  <c r="E46" i="6"/>
  <c r="C46" i="6"/>
  <c r="B46" i="6"/>
  <c r="P44" i="6"/>
  <c r="O44" i="6"/>
  <c r="N44" i="6"/>
  <c r="M44" i="6"/>
  <c r="K44" i="6"/>
  <c r="J44" i="6"/>
  <c r="H44" i="6"/>
  <c r="G44" i="6"/>
  <c r="F44" i="6"/>
  <c r="E44" i="6"/>
  <c r="C44" i="6"/>
  <c r="B44" i="6"/>
  <c r="P43" i="6"/>
  <c r="O43" i="6"/>
  <c r="N43" i="6"/>
  <c r="M43" i="6"/>
  <c r="K43" i="6"/>
  <c r="J43" i="6"/>
  <c r="H43" i="6"/>
  <c r="G43" i="6"/>
  <c r="F43" i="6"/>
  <c r="E43" i="6"/>
  <c r="C43" i="6"/>
  <c r="B43" i="6"/>
  <c r="P42" i="6"/>
  <c r="O42" i="6"/>
  <c r="N42" i="6"/>
  <c r="M42" i="6"/>
  <c r="K42" i="6"/>
  <c r="J42" i="6"/>
  <c r="H42" i="6"/>
  <c r="G42" i="6"/>
  <c r="F42" i="6"/>
  <c r="E42" i="6"/>
  <c r="C42" i="6"/>
  <c r="B42" i="6"/>
  <c r="P41" i="6"/>
  <c r="O41" i="6"/>
  <c r="N41" i="6"/>
  <c r="M41" i="6"/>
  <c r="K41" i="6"/>
  <c r="J41" i="6"/>
  <c r="H41" i="6"/>
  <c r="G41" i="6"/>
  <c r="F41" i="6"/>
  <c r="E41" i="6"/>
  <c r="C41" i="6"/>
  <c r="B41" i="6"/>
  <c r="P27" i="6"/>
  <c r="O27" i="6"/>
  <c r="N27" i="6"/>
  <c r="M27" i="6"/>
  <c r="K27" i="6"/>
  <c r="J27" i="6"/>
  <c r="H27" i="6"/>
  <c r="G27" i="6"/>
  <c r="F27" i="6"/>
  <c r="E27" i="6"/>
  <c r="C27" i="6"/>
  <c r="B27" i="6"/>
  <c r="B26" i="6"/>
  <c r="K8" i="5" l="1"/>
  <c r="K13" i="5"/>
  <c r="K23" i="5"/>
  <c r="L8" i="5"/>
  <c r="L13" i="5"/>
  <c r="L18" i="5"/>
  <c r="P8" i="5"/>
  <c r="P13" i="5"/>
  <c r="D422" i="6"/>
  <c r="N47" i="5" s="1"/>
  <c r="P12" i="5"/>
  <c r="P17" i="5"/>
  <c r="P22" i="5"/>
  <c r="E8" i="5"/>
  <c r="E10" i="5"/>
  <c r="E13" i="5"/>
  <c r="F8" i="5"/>
  <c r="F10" i="5"/>
  <c r="F13" i="5"/>
  <c r="F18" i="5"/>
  <c r="F23" i="5"/>
  <c r="F25" i="5"/>
  <c r="I9" i="5"/>
  <c r="I14" i="5"/>
  <c r="I24" i="5"/>
  <c r="J9" i="5"/>
  <c r="J14" i="5"/>
  <c r="J19" i="5"/>
  <c r="J24" i="5"/>
  <c r="K9" i="5"/>
  <c r="C67" i="5"/>
  <c r="C69" i="5"/>
  <c r="D67" i="5"/>
  <c r="D69" i="5"/>
  <c r="D74" i="5"/>
  <c r="D77" i="5"/>
  <c r="D79" i="5"/>
  <c r="D82" i="5"/>
  <c r="E67" i="5"/>
  <c r="E74" i="5"/>
  <c r="E82" i="5"/>
  <c r="D195" i="6"/>
  <c r="D197" i="6"/>
  <c r="G37" i="5" s="1"/>
  <c r="G69" i="5"/>
  <c r="D200" i="6"/>
  <c r="G40" i="5" s="1"/>
  <c r="D202" i="6"/>
  <c r="G42" i="5" s="1"/>
  <c r="G74" i="5"/>
  <c r="G77" i="5"/>
  <c r="G79" i="5"/>
  <c r="G82" i="5"/>
  <c r="K15" i="5"/>
  <c r="K20" i="5"/>
  <c r="K25" i="5"/>
  <c r="D361" i="6"/>
  <c r="Q361" i="6" s="1"/>
  <c r="O12" i="5"/>
  <c r="O17" i="5"/>
  <c r="D205" i="6"/>
  <c r="G45" i="5" s="1"/>
  <c r="D207" i="6"/>
  <c r="G47" i="5" s="1"/>
  <c r="D210" i="6"/>
  <c r="G50" i="5" s="1"/>
  <c r="D440" i="6"/>
  <c r="Q440" i="6" s="1"/>
  <c r="O10" i="5"/>
  <c r="D445" i="6"/>
  <c r="O40" i="5" s="1"/>
  <c r="O15" i="5"/>
  <c r="D450" i="6"/>
  <c r="Q450" i="6" s="1"/>
  <c r="O20" i="5"/>
  <c r="D455" i="6"/>
  <c r="O50" i="5" s="1"/>
  <c r="O25" i="5"/>
  <c r="D135" i="6"/>
  <c r="E36" i="5" s="1"/>
  <c r="D211" i="6"/>
  <c r="Q211" i="6" s="1"/>
  <c r="C9" i="5"/>
  <c r="C14" i="5"/>
  <c r="C17" i="5"/>
  <c r="C19" i="5"/>
  <c r="C22" i="5"/>
  <c r="D104" i="6"/>
  <c r="Q104" i="6" s="1"/>
  <c r="D106" i="6"/>
  <c r="D38" i="5" s="1"/>
  <c r="D12" i="5"/>
  <c r="D114" i="6"/>
  <c r="D46" i="5" s="1"/>
  <c r="D116" i="6"/>
  <c r="D48" i="5" s="1"/>
  <c r="D24" i="5"/>
  <c r="L47" i="6"/>
  <c r="B101" i="5" s="1"/>
  <c r="L165" i="6"/>
  <c r="R165" i="6" s="1"/>
  <c r="L167" i="6"/>
  <c r="F98" i="5" s="1"/>
  <c r="L170" i="6"/>
  <c r="F101" i="5" s="1"/>
  <c r="L172" i="6"/>
  <c r="F103" i="5" s="1"/>
  <c r="L175" i="6"/>
  <c r="F106" i="5" s="1"/>
  <c r="L177" i="6"/>
  <c r="R177" i="6" s="1"/>
  <c r="L180" i="6"/>
  <c r="F111" i="5" s="1"/>
  <c r="B68" i="5"/>
  <c r="B71" i="5"/>
  <c r="B76" i="5"/>
  <c r="C68" i="5"/>
  <c r="D71" i="5"/>
  <c r="D73" i="5"/>
  <c r="D78" i="5"/>
  <c r="D81" i="5"/>
  <c r="D83" i="5"/>
  <c r="Q195" i="6"/>
  <c r="L77" i="6"/>
  <c r="R77" i="6" s="1"/>
  <c r="L82" i="6"/>
  <c r="R82" i="6" s="1"/>
  <c r="L87" i="6"/>
  <c r="R87" i="6" s="1"/>
  <c r="L103" i="6"/>
  <c r="R103" i="6" s="1"/>
  <c r="L108" i="6"/>
  <c r="R108" i="6" s="1"/>
  <c r="L113" i="6"/>
  <c r="D105" i="5" s="1"/>
  <c r="L118" i="6"/>
  <c r="D110" i="5" s="1"/>
  <c r="D269" i="6"/>
  <c r="I47" i="5" s="1"/>
  <c r="D321" i="6"/>
  <c r="K37" i="5" s="1"/>
  <c r="D331" i="6"/>
  <c r="K47" i="5" s="1"/>
  <c r="D196" i="6"/>
  <c r="G36" i="5" s="1"/>
  <c r="D228" i="6"/>
  <c r="M37" i="5" s="1"/>
  <c r="L182" i="6"/>
  <c r="R182" i="6" s="1"/>
  <c r="D47" i="6"/>
  <c r="Q47" i="6" s="1"/>
  <c r="D49" i="6"/>
  <c r="B43" i="5" s="1"/>
  <c r="L57" i="6"/>
  <c r="B111" i="5" s="1"/>
  <c r="D85" i="6"/>
  <c r="Q85" i="6" s="1"/>
  <c r="K14" i="5"/>
  <c r="K19" i="5"/>
  <c r="K24" i="5"/>
  <c r="N9" i="5"/>
  <c r="D413" i="6"/>
  <c r="N38" i="5" s="1"/>
  <c r="O9" i="5"/>
  <c r="O19" i="5"/>
  <c r="O24" i="5"/>
  <c r="B8" i="5"/>
  <c r="B13" i="5"/>
  <c r="B15" i="5"/>
  <c r="B18" i="5"/>
  <c r="B20" i="5"/>
  <c r="L54" i="6"/>
  <c r="B108" i="5" s="1"/>
  <c r="B23" i="5"/>
  <c r="B25" i="5"/>
  <c r="L59" i="6"/>
  <c r="B113" i="5" s="1"/>
  <c r="D238" i="6"/>
  <c r="M47" i="5" s="1"/>
  <c r="D351" i="6"/>
  <c r="L37" i="5" s="1"/>
  <c r="D392" i="6"/>
  <c r="Q392" i="6" s="1"/>
  <c r="D332" i="6"/>
  <c r="K48" i="5" s="1"/>
  <c r="C8" i="5"/>
  <c r="C10" i="5"/>
  <c r="L75" i="6"/>
  <c r="C98" i="5" s="1"/>
  <c r="L78" i="6"/>
  <c r="R78" i="6" s="1"/>
  <c r="L80" i="6"/>
  <c r="C103" i="5" s="1"/>
  <c r="C18" i="5"/>
  <c r="L83" i="6"/>
  <c r="C106" i="5" s="1"/>
  <c r="C20" i="5"/>
  <c r="L85" i="6"/>
  <c r="C108" i="5" s="1"/>
  <c r="C23" i="5"/>
  <c r="L88" i="6"/>
  <c r="C111" i="5" s="1"/>
  <c r="L90" i="6"/>
  <c r="R90" i="6" s="1"/>
  <c r="D8" i="5"/>
  <c r="L104" i="6"/>
  <c r="R104" i="6" s="1"/>
  <c r="D10" i="5"/>
  <c r="L106" i="6"/>
  <c r="D98" i="5" s="1"/>
  <c r="D13" i="5"/>
  <c r="L109" i="6"/>
  <c r="D101" i="5" s="1"/>
  <c r="L111" i="6"/>
  <c r="R111" i="6" s="1"/>
  <c r="L114" i="6"/>
  <c r="D106" i="5" s="1"/>
  <c r="D20" i="5"/>
  <c r="L116" i="6"/>
  <c r="R116" i="6" s="1"/>
  <c r="L119" i="6"/>
  <c r="D111" i="5" s="1"/>
  <c r="D25" i="5"/>
  <c r="L121" i="6"/>
  <c r="D113" i="5" s="1"/>
  <c r="I12" i="5"/>
  <c r="I17" i="5"/>
  <c r="I22" i="5"/>
  <c r="J12" i="5"/>
  <c r="J17" i="5"/>
  <c r="J22" i="5"/>
  <c r="K12" i="5"/>
  <c r="K17" i="5"/>
  <c r="K22" i="5"/>
  <c r="O8" i="5"/>
  <c r="D442" i="6"/>
  <c r="Q442" i="6" s="1"/>
  <c r="O13" i="5"/>
  <c r="O18" i="5"/>
  <c r="D452" i="6"/>
  <c r="O47" i="5" s="1"/>
  <c r="D453" i="6"/>
  <c r="Q453" i="6" s="1"/>
  <c r="O23" i="5"/>
  <c r="D319" i="6"/>
  <c r="Q319" i="6" s="1"/>
  <c r="D324" i="6"/>
  <c r="Q324" i="6" s="1"/>
  <c r="D329" i="6"/>
  <c r="Q329" i="6" s="1"/>
  <c r="D334" i="6"/>
  <c r="K50" i="5" s="1"/>
  <c r="B9" i="5"/>
  <c r="B12" i="5"/>
  <c r="B14" i="5"/>
  <c r="B17" i="5"/>
  <c r="B19" i="5"/>
  <c r="B22" i="5"/>
  <c r="B24" i="5"/>
  <c r="E73" i="5"/>
  <c r="D145" i="6"/>
  <c r="E46" i="5" s="1"/>
  <c r="E78" i="5"/>
  <c r="E83" i="5"/>
  <c r="D349" i="6"/>
  <c r="Q349" i="6" s="1"/>
  <c r="L10" i="5"/>
  <c r="D354" i="6"/>
  <c r="Q354" i="6" s="1"/>
  <c r="L15" i="5"/>
  <c r="D359" i="6"/>
  <c r="L45" i="5" s="1"/>
  <c r="L20" i="5"/>
  <c r="P10" i="5"/>
  <c r="P20" i="5"/>
  <c r="P25" i="5"/>
  <c r="B67" i="5"/>
  <c r="E9" i="5"/>
  <c r="E12" i="5"/>
  <c r="L164" i="6"/>
  <c r="R164" i="6" s="1"/>
  <c r="L166" i="6"/>
  <c r="F97" i="5" s="1"/>
  <c r="D167" i="6"/>
  <c r="F38" i="5" s="1"/>
  <c r="L169" i="6"/>
  <c r="R169" i="6" s="1"/>
  <c r="F14" i="5"/>
  <c r="L171" i="6"/>
  <c r="F102" i="5" s="1"/>
  <c r="L174" i="6"/>
  <c r="R174" i="6" s="1"/>
  <c r="L176" i="6"/>
  <c r="F107" i="5" s="1"/>
  <c r="F22" i="5"/>
  <c r="L179" i="6"/>
  <c r="F110" i="5" s="1"/>
  <c r="L181" i="6"/>
  <c r="F112" i="5" s="1"/>
  <c r="D201" i="6"/>
  <c r="G41" i="5" s="1"/>
  <c r="L201" i="6"/>
  <c r="G101" i="5" s="1"/>
  <c r="D206" i="6"/>
  <c r="Q206" i="6" s="1"/>
  <c r="G78" i="5"/>
  <c r="P9" i="5"/>
  <c r="D383" i="6"/>
  <c r="P38" i="5" s="1"/>
  <c r="P14" i="5"/>
  <c r="P19" i="5"/>
  <c r="D27" i="6"/>
  <c r="H53" i="5" s="1"/>
  <c r="L42" i="6"/>
  <c r="R42" i="6" s="1"/>
  <c r="L44" i="6"/>
  <c r="B98" i="5" s="1"/>
  <c r="D52" i="6"/>
  <c r="B46" i="5" s="1"/>
  <c r="L52" i="6"/>
  <c r="B106" i="5" s="1"/>
  <c r="L53" i="6"/>
  <c r="B107" i="5" s="1"/>
  <c r="L72" i="6"/>
  <c r="R72" i="6" s="1"/>
  <c r="D73" i="6"/>
  <c r="Q73" i="6" s="1"/>
  <c r="L73" i="6"/>
  <c r="R73" i="6" s="1"/>
  <c r="D75" i="6"/>
  <c r="Q75" i="6" s="1"/>
  <c r="D83" i="6"/>
  <c r="C46" i="5" s="1"/>
  <c r="D44" i="6"/>
  <c r="B38" i="5" s="1"/>
  <c r="L46" i="6"/>
  <c r="R46" i="6" s="1"/>
  <c r="L49" i="6"/>
  <c r="B103" i="5" s="1"/>
  <c r="C71" i="5"/>
  <c r="C72" i="5"/>
  <c r="C73" i="5"/>
  <c r="C74" i="5"/>
  <c r="C76" i="5"/>
  <c r="C77" i="5"/>
  <c r="C79" i="5"/>
  <c r="C81" i="5"/>
  <c r="D88" i="6"/>
  <c r="C51" i="5" s="1"/>
  <c r="C83" i="5"/>
  <c r="D90" i="6"/>
  <c r="C53" i="5" s="1"/>
  <c r="C84" i="5"/>
  <c r="D257" i="6"/>
  <c r="Q257" i="6" s="1"/>
  <c r="I8" i="5"/>
  <c r="D259" i="6"/>
  <c r="I37" i="5" s="1"/>
  <c r="I10" i="5"/>
  <c r="D262" i="6"/>
  <c r="I40" i="5" s="1"/>
  <c r="D263" i="6"/>
  <c r="I41" i="5" s="1"/>
  <c r="D267" i="6"/>
  <c r="Q267" i="6" s="1"/>
  <c r="I18" i="5"/>
  <c r="I20" i="5"/>
  <c r="D272" i="6"/>
  <c r="Q272" i="6" s="1"/>
  <c r="D273" i="6"/>
  <c r="I51" i="5" s="1"/>
  <c r="I25" i="5"/>
  <c r="D288" i="6"/>
  <c r="Q288" i="6" s="1"/>
  <c r="J8" i="5"/>
  <c r="D290" i="6"/>
  <c r="Q290" i="6" s="1"/>
  <c r="D293" i="6"/>
  <c r="Q293" i="6" s="1"/>
  <c r="J13" i="5"/>
  <c r="J15" i="5"/>
  <c r="D298" i="6"/>
  <c r="J45" i="5" s="1"/>
  <c r="D300" i="6"/>
  <c r="Q300" i="6" s="1"/>
  <c r="J20" i="5"/>
  <c r="D303" i="6"/>
  <c r="J50" i="5" s="1"/>
  <c r="J23" i="5"/>
  <c r="J25" i="5"/>
  <c r="L9" i="5"/>
  <c r="D352" i="6"/>
  <c r="Q352" i="6" s="1"/>
  <c r="L12" i="5"/>
  <c r="L14" i="5"/>
  <c r="L17" i="5"/>
  <c r="L19" i="5"/>
  <c r="L22" i="5"/>
  <c r="L24" i="5"/>
  <c r="D410" i="6"/>
  <c r="Q410" i="6" s="1"/>
  <c r="N8" i="5"/>
  <c r="D412" i="6"/>
  <c r="N37" i="5" s="1"/>
  <c r="N10" i="5"/>
  <c r="D415" i="6"/>
  <c r="Q415" i="6" s="1"/>
  <c r="N15" i="5"/>
  <c r="D420" i="6"/>
  <c r="N45" i="5" s="1"/>
  <c r="N18" i="5"/>
  <c r="D423" i="6"/>
  <c r="N48" i="5" s="1"/>
  <c r="D425" i="6"/>
  <c r="N50" i="5" s="1"/>
  <c r="N23" i="5"/>
  <c r="N25" i="5"/>
  <c r="D212" i="6"/>
  <c r="Q212" i="6" s="1"/>
  <c r="G84" i="5"/>
  <c r="M9" i="5"/>
  <c r="D229" i="6"/>
  <c r="M38" i="5" s="1"/>
  <c r="M12" i="5"/>
  <c r="M14" i="5"/>
  <c r="M17" i="5"/>
  <c r="M19" i="5"/>
  <c r="D239" i="6"/>
  <c r="Q239" i="6" s="1"/>
  <c r="D362" i="6"/>
  <c r="Q362" i="6" s="1"/>
  <c r="D364" i="6"/>
  <c r="L50" i="5" s="1"/>
  <c r="L25" i="5"/>
  <c r="N12" i="5"/>
  <c r="N14" i="5"/>
  <c r="N17" i="5"/>
  <c r="N19" i="5"/>
  <c r="N22" i="5"/>
  <c r="N24" i="5"/>
  <c r="D54" i="6"/>
  <c r="Q54" i="6" s="1"/>
  <c r="B79" i="5"/>
  <c r="B83" i="5"/>
  <c r="D59" i="6"/>
  <c r="Q59" i="6" s="1"/>
  <c r="D109" i="6"/>
  <c r="D41" i="5" s="1"/>
  <c r="D111" i="6"/>
  <c r="D43" i="5" s="1"/>
  <c r="D119" i="6"/>
  <c r="D51" i="5" s="1"/>
  <c r="D121" i="6"/>
  <c r="D53" i="5" s="1"/>
  <c r="L134" i="6"/>
  <c r="R134" i="6" s="1"/>
  <c r="L135" i="6"/>
  <c r="R135" i="6" s="1"/>
  <c r="D137" i="6"/>
  <c r="E38" i="5" s="1"/>
  <c r="L137" i="6"/>
  <c r="E98" i="5" s="1"/>
  <c r="L139" i="6"/>
  <c r="E100" i="5" s="1"/>
  <c r="D140" i="6"/>
  <c r="E41" i="5" s="1"/>
  <c r="L140" i="6"/>
  <c r="E101" i="5" s="1"/>
  <c r="E14" i="5"/>
  <c r="E15" i="5"/>
  <c r="D142" i="6"/>
  <c r="Q142" i="6" s="1"/>
  <c r="L142" i="6"/>
  <c r="R142" i="6" s="1"/>
  <c r="E17" i="5"/>
  <c r="L144" i="6"/>
  <c r="E105" i="5" s="1"/>
  <c r="E18" i="5"/>
  <c r="L145" i="6"/>
  <c r="E106" i="5" s="1"/>
  <c r="E19" i="5"/>
  <c r="E20" i="5"/>
  <c r="D147" i="6"/>
  <c r="E48" i="5" s="1"/>
  <c r="L147" i="6"/>
  <c r="E108" i="5" s="1"/>
  <c r="E22" i="5"/>
  <c r="L149" i="6"/>
  <c r="E110" i="5" s="1"/>
  <c r="E23" i="5"/>
  <c r="D150" i="6"/>
  <c r="Q150" i="6" s="1"/>
  <c r="L150" i="6"/>
  <c r="E111" i="5" s="1"/>
  <c r="E24" i="5"/>
  <c r="D152" i="6"/>
  <c r="E53" i="5" s="1"/>
  <c r="F67" i="5"/>
  <c r="F68" i="5"/>
  <c r="F69" i="5"/>
  <c r="F71" i="5"/>
  <c r="D170" i="6"/>
  <c r="F41" i="5" s="1"/>
  <c r="F72" i="5"/>
  <c r="F73" i="5"/>
  <c r="F76" i="5"/>
  <c r="D175" i="6"/>
  <c r="F46" i="5" s="1"/>
  <c r="F77" i="5"/>
  <c r="D177" i="6"/>
  <c r="F48" i="5" s="1"/>
  <c r="F79" i="5"/>
  <c r="F81" i="5"/>
  <c r="F82" i="5"/>
  <c r="F83" i="5"/>
  <c r="D182" i="6"/>
  <c r="Q182" i="6" s="1"/>
  <c r="F84" i="5"/>
  <c r="G8" i="5"/>
  <c r="G10" i="5"/>
  <c r="G12" i="5"/>
  <c r="G14" i="5"/>
  <c r="G15" i="5"/>
  <c r="G18" i="5"/>
  <c r="G19" i="5"/>
  <c r="G20" i="5"/>
  <c r="G22" i="5"/>
  <c r="G23" i="5"/>
  <c r="L211" i="6"/>
  <c r="R211" i="6" s="1"/>
  <c r="G24" i="5"/>
  <c r="M10" i="5"/>
  <c r="D231" i="6"/>
  <c r="Q231" i="6" s="1"/>
  <c r="M13" i="5"/>
  <c r="D236" i="6"/>
  <c r="Q236" i="6" s="1"/>
  <c r="M18" i="5"/>
  <c r="M20" i="5"/>
  <c r="D241" i="6"/>
  <c r="M50" i="5" s="1"/>
  <c r="M23" i="5"/>
  <c r="M25" i="5"/>
  <c r="D322" i="6"/>
  <c r="K38" i="5" s="1"/>
  <c r="D380" i="6"/>
  <c r="Q380" i="6" s="1"/>
  <c r="D382" i="6"/>
  <c r="P37" i="5" s="1"/>
  <c r="D385" i="6"/>
  <c r="P40" i="5" s="1"/>
  <c r="D390" i="6"/>
  <c r="Q390" i="6" s="1"/>
  <c r="D393" i="6"/>
  <c r="P48" i="5" s="1"/>
  <c r="D395" i="6"/>
  <c r="P50" i="5" s="1"/>
  <c r="D443" i="6"/>
  <c r="Q443" i="6" s="1"/>
  <c r="B10" i="5"/>
  <c r="D78" i="6"/>
  <c r="C41" i="5" s="1"/>
  <c r="D80" i="6"/>
  <c r="C43" i="5" s="1"/>
  <c r="H84" i="5"/>
  <c r="C12" i="5"/>
  <c r="C13" i="5"/>
  <c r="C15" i="5"/>
  <c r="D22" i="5"/>
  <c r="F9" i="5"/>
  <c r="F12" i="5"/>
  <c r="F15" i="5"/>
  <c r="F17" i="5"/>
  <c r="F24" i="5"/>
  <c r="G71" i="5"/>
  <c r="G72" i="5"/>
  <c r="G83" i="5"/>
  <c r="J18" i="5"/>
  <c r="E25" i="5"/>
  <c r="F19" i="5"/>
  <c r="F20" i="5"/>
  <c r="G67" i="5"/>
  <c r="G68" i="5"/>
  <c r="G73" i="5"/>
  <c r="G76" i="5"/>
  <c r="G81" i="5"/>
  <c r="J10" i="5"/>
  <c r="H25" i="5"/>
  <c r="D260" i="6"/>
  <c r="I38" i="5" s="1"/>
  <c r="D270" i="6"/>
  <c r="Q270" i="6" s="1"/>
  <c r="K10" i="5"/>
  <c r="C24" i="5"/>
  <c r="C25" i="5"/>
  <c r="D9" i="5"/>
  <c r="D17" i="5"/>
  <c r="D18" i="5"/>
  <c r="L27" i="6"/>
  <c r="H113" i="5" s="1"/>
  <c r="D42" i="6"/>
  <c r="B69" i="5"/>
  <c r="B73" i="5"/>
  <c r="D51" i="6"/>
  <c r="B45" i="5" s="1"/>
  <c r="L51" i="6"/>
  <c r="R51" i="6" s="1"/>
  <c r="B77" i="5"/>
  <c r="B78" i="5"/>
  <c r="B81" i="5"/>
  <c r="D57" i="6"/>
  <c r="D72" i="6"/>
  <c r="Q72" i="6" s="1"/>
  <c r="D77" i="6"/>
  <c r="C40" i="5" s="1"/>
  <c r="D79" i="6"/>
  <c r="C42" i="5" s="1"/>
  <c r="L79" i="6"/>
  <c r="C102" i="5" s="1"/>
  <c r="D82" i="6"/>
  <c r="C78" i="5"/>
  <c r="D87" i="6"/>
  <c r="D89" i="6"/>
  <c r="C52" i="5" s="1"/>
  <c r="L89" i="6"/>
  <c r="D103" i="6"/>
  <c r="Q103" i="6" s="1"/>
  <c r="L105" i="6"/>
  <c r="D97" i="5" s="1"/>
  <c r="D108" i="6"/>
  <c r="D72" i="5"/>
  <c r="D113" i="6"/>
  <c r="D45" i="5" s="1"/>
  <c r="D115" i="6"/>
  <c r="D47" i="5" s="1"/>
  <c r="L115" i="6"/>
  <c r="D134" i="6"/>
  <c r="Q134" i="6" s="1"/>
  <c r="D136" i="6"/>
  <c r="Q136" i="6" s="1"/>
  <c r="E68" i="5"/>
  <c r="L136" i="6"/>
  <c r="E97" i="5" s="1"/>
  <c r="E69" i="5"/>
  <c r="D139" i="6"/>
  <c r="E40" i="5" s="1"/>
  <c r="E71" i="5"/>
  <c r="E72" i="5"/>
  <c r="D141" i="6"/>
  <c r="E42" i="5" s="1"/>
  <c r="L141" i="6"/>
  <c r="D144" i="6"/>
  <c r="Q144" i="6" s="1"/>
  <c r="E76" i="5"/>
  <c r="E77" i="5"/>
  <c r="D146" i="6"/>
  <c r="Q146" i="6" s="1"/>
  <c r="L146" i="6"/>
  <c r="R146" i="6" s="1"/>
  <c r="E79" i="5"/>
  <c r="D149" i="6"/>
  <c r="E50" i="5" s="1"/>
  <c r="E81" i="5"/>
  <c r="D151" i="6"/>
  <c r="E52" i="5" s="1"/>
  <c r="L151" i="6"/>
  <c r="R151" i="6" s="1"/>
  <c r="E84" i="5"/>
  <c r="D164" i="6"/>
  <c r="Q164" i="6" s="1"/>
  <c r="D165" i="6"/>
  <c r="F36" i="5" s="1"/>
  <c r="D166" i="6"/>
  <c r="F37" i="5" s="1"/>
  <c r="D169" i="6"/>
  <c r="F40" i="5" s="1"/>
  <c r="D171" i="6"/>
  <c r="Q171" i="6" s="1"/>
  <c r="D172" i="6"/>
  <c r="F43" i="5" s="1"/>
  <c r="F74" i="5"/>
  <c r="D174" i="6"/>
  <c r="F45" i="5" s="1"/>
  <c r="D176" i="6"/>
  <c r="F47" i="5" s="1"/>
  <c r="F78" i="5"/>
  <c r="D179" i="6"/>
  <c r="F50" i="5" s="1"/>
  <c r="D180" i="6"/>
  <c r="Q180" i="6" s="1"/>
  <c r="D181" i="6"/>
  <c r="F52" i="5" s="1"/>
  <c r="L195" i="6"/>
  <c r="R195" i="6" s="1"/>
  <c r="L196" i="6"/>
  <c r="R196" i="6" s="1"/>
  <c r="G9" i="5"/>
  <c r="Q197" i="6"/>
  <c r="L197" i="6"/>
  <c r="G97" i="5" s="1"/>
  <c r="D198" i="6"/>
  <c r="G38" i="5" s="1"/>
  <c r="L198" i="6"/>
  <c r="G98" i="5" s="1"/>
  <c r="L200" i="6"/>
  <c r="G100" i="5" s="1"/>
  <c r="G13" i="5"/>
  <c r="L202" i="6"/>
  <c r="G102" i="5" s="1"/>
  <c r="D203" i="6"/>
  <c r="Q203" i="6" s="1"/>
  <c r="L203" i="6"/>
  <c r="R203" i="6" s="1"/>
  <c r="G17" i="5"/>
  <c r="L205" i="6"/>
  <c r="G105" i="5" s="1"/>
  <c r="L206" i="6"/>
  <c r="G106" i="5" s="1"/>
  <c r="L207" i="6"/>
  <c r="R207" i="6" s="1"/>
  <c r="D208" i="6"/>
  <c r="L208" i="6"/>
  <c r="R208" i="6" s="1"/>
  <c r="L210" i="6"/>
  <c r="G110" i="5" s="1"/>
  <c r="L212" i="6"/>
  <c r="G112" i="5" s="1"/>
  <c r="G25" i="5"/>
  <c r="D213" i="6"/>
  <c r="G53" i="5" s="1"/>
  <c r="L213" i="6"/>
  <c r="R213" i="6" s="1"/>
  <c r="D226" i="6"/>
  <c r="Q226" i="6" s="1"/>
  <c r="M8" i="5"/>
  <c r="M15" i="5"/>
  <c r="D291" i="6"/>
  <c r="J38" i="5" s="1"/>
  <c r="D301" i="6"/>
  <c r="J48" i="5" s="1"/>
  <c r="D14" i="5"/>
  <c r="D15" i="5"/>
  <c r="D19" i="5"/>
  <c r="D23" i="5"/>
  <c r="D41" i="6"/>
  <c r="Q41" i="6" s="1"/>
  <c r="L41" i="6"/>
  <c r="R41" i="6" s="1"/>
  <c r="D43" i="6"/>
  <c r="B37" i="5" s="1"/>
  <c r="L43" i="6"/>
  <c r="B97" i="5" s="1"/>
  <c r="D46" i="6"/>
  <c r="B40" i="5" s="1"/>
  <c r="B72" i="5"/>
  <c r="D48" i="6"/>
  <c r="Q48" i="6" s="1"/>
  <c r="L48" i="6"/>
  <c r="B102" i="5" s="1"/>
  <c r="B74" i="5"/>
  <c r="D53" i="6"/>
  <c r="B47" i="5" s="1"/>
  <c r="D56" i="6"/>
  <c r="B50" i="5" s="1"/>
  <c r="L56" i="6"/>
  <c r="B110" i="5" s="1"/>
  <c r="B82" i="5"/>
  <c r="D58" i="6"/>
  <c r="Q58" i="6" s="1"/>
  <c r="L58" i="6"/>
  <c r="R58" i="6" s="1"/>
  <c r="B84" i="5"/>
  <c r="D74" i="6"/>
  <c r="C37" i="5" s="1"/>
  <c r="L74" i="6"/>
  <c r="C97" i="5" s="1"/>
  <c r="D84" i="6"/>
  <c r="C47" i="5" s="1"/>
  <c r="L84" i="6"/>
  <c r="C107" i="5" s="1"/>
  <c r="C82" i="5"/>
  <c r="D105" i="6"/>
  <c r="D37" i="5" s="1"/>
  <c r="D68" i="5"/>
  <c r="D110" i="6"/>
  <c r="D42" i="5" s="1"/>
  <c r="L110" i="6"/>
  <c r="D102" i="5" s="1"/>
  <c r="D76" i="5"/>
  <c r="D118" i="6"/>
  <c r="D50" i="5" s="1"/>
  <c r="D120" i="6"/>
  <c r="Q120" i="6" s="1"/>
  <c r="L120" i="6"/>
  <c r="R120" i="6" s="1"/>
  <c r="D84" i="5"/>
  <c r="I13" i="5"/>
  <c r="I15" i="5"/>
  <c r="I23" i="5"/>
  <c r="L152" i="6"/>
  <c r="E113" i="5" s="1"/>
  <c r="M24" i="5"/>
  <c r="P23" i="5"/>
  <c r="L23" i="5"/>
  <c r="O22" i="5"/>
  <c r="N20" i="5"/>
  <c r="I19" i="5"/>
  <c r="P18" i="5"/>
  <c r="P15" i="5"/>
  <c r="O14" i="5"/>
  <c r="N13" i="5"/>
  <c r="P24" i="5"/>
  <c r="K18" i="5"/>
  <c r="D356" i="6"/>
  <c r="L42" i="5" s="1"/>
  <c r="D366" i="6"/>
  <c r="M22" i="5"/>
  <c r="D227" i="6"/>
  <c r="M36" i="5" s="1"/>
  <c r="D232" i="6"/>
  <c r="Q232" i="6" s="1"/>
  <c r="D233" i="6"/>
  <c r="M42" i="5" s="1"/>
  <c r="D234" i="6"/>
  <c r="M43" i="5" s="1"/>
  <c r="D237" i="6"/>
  <c r="M46" i="5" s="1"/>
  <c r="D242" i="6"/>
  <c r="D243" i="6"/>
  <c r="M52" i="5" s="1"/>
  <c r="D244" i="6"/>
  <c r="D258" i="6"/>
  <c r="Q258" i="6" s="1"/>
  <c r="D264" i="6"/>
  <c r="I42" i="5" s="1"/>
  <c r="D265" i="6"/>
  <c r="I43" i="5" s="1"/>
  <c r="D268" i="6"/>
  <c r="I46" i="5" s="1"/>
  <c r="D274" i="6"/>
  <c r="Q274" i="6" s="1"/>
  <c r="D275" i="6"/>
  <c r="Q275" i="6" s="1"/>
  <c r="D289" i="6"/>
  <c r="J36" i="5" s="1"/>
  <c r="D294" i="6"/>
  <c r="J41" i="5" s="1"/>
  <c r="D295" i="6"/>
  <c r="D296" i="6"/>
  <c r="J43" i="5" s="1"/>
  <c r="D299" i="6"/>
  <c r="J46" i="5" s="1"/>
  <c r="D304" i="6"/>
  <c r="J51" i="5" s="1"/>
  <c r="D305" i="6"/>
  <c r="J52" i="5" s="1"/>
  <c r="D306" i="6"/>
  <c r="D320" i="6"/>
  <c r="Q320" i="6" s="1"/>
  <c r="D325" i="6"/>
  <c r="K41" i="5" s="1"/>
  <c r="D326" i="6"/>
  <c r="K42" i="5" s="1"/>
  <c r="D327" i="6"/>
  <c r="D330" i="6"/>
  <c r="K46" i="5" s="1"/>
  <c r="D335" i="6"/>
  <c r="K51" i="5" s="1"/>
  <c r="D336" i="6"/>
  <c r="K52" i="5" s="1"/>
  <c r="D337" i="6"/>
  <c r="K53" i="5" s="1"/>
  <c r="D350" i="6"/>
  <c r="L36" i="5" s="1"/>
  <c r="D355" i="6"/>
  <c r="L41" i="5" s="1"/>
  <c r="D357" i="6"/>
  <c r="L43" i="5" s="1"/>
  <c r="D360" i="6"/>
  <c r="L46" i="5" s="1"/>
  <c r="D365" i="6"/>
  <c r="L51" i="5" s="1"/>
  <c r="D367" i="6"/>
  <c r="L53" i="5" s="1"/>
  <c r="D381" i="6"/>
  <c r="P36" i="5" s="1"/>
  <c r="D386" i="6"/>
  <c r="P41" i="5" s="1"/>
  <c r="D387" i="6"/>
  <c r="P42" i="5" s="1"/>
  <c r="D388" i="6"/>
  <c r="P43" i="5" s="1"/>
  <c r="D391" i="6"/>
  <c r="P46" i="5" s="1"/>
  <c r="D396" i="6"/>
  <c r="P51" i="5" s="1"/>
  <c r="D397" i="6"/>
  <c r="P52" i="5" s="1"/>
  <c r="D398" i="6"/>
  <c r="P53" i="5" s="1"/>
  <c r="D411" i="6"/>
  <c r="Q411" i="6" s="1"/>
  <c r="D416" i="6"/>
  <c r="N41" i="5" s="1"/>
  <c r="D417" i="6"/>
  <c r="N42" i="5" s="1"/>
  <c r="D418" i="6"/>
  <c r="N43" i="5" s="1"/>
  <c r="D421" i="6"/>
  <c r="Q421" i="6" s="1"/>
  <c r="D426" i="6"/>
  <c r="N51" i="5" s="1"/>
  <c r="D427" i="6"/>
  <c r="D428" i="6"/>
  <c r="D441" i="6"/>
  <c r="O36" i="5" s="1"/>
  <c r="D446" i="6"/>
  <c r="Q446" i="6" s="1"/>
  <c r="D447" i="6"/>
  <c r="O42" i="5" s="1"/>
  <c r="D448" i="6"/>
  <c r="O43" i="5" s="1"/>
  <c r="D451" i="6"/>
  <c r="O46" i="5" s="1"/>
  <c r="D456" i="6"/>
  <c r="Q456" i="6" s="1"/>
  <c r="D457" i="6"/>
  <c r="O52" i="5" s="1"/>
  <c r="D458" i="6"/>
  <c r="Q422" i="6"/>
  <c r="Q321" i="6"/>
  <c r="I45" i="5"/>
  <c r="B16" i="6"/>
  <c r="C16" i="6"/>
  <c r="E16" i="6"/>
  <c r="F16" i="6"/>
  <c r="G16" i="6"/>
  <c r="H16" i="6"/>
  <c r="J16" i="6"/>
  <c r="K16" i="6"/>
  <c r="M16" i="6"/>
  <c r="N16" i="6"/>
  <c r="O16" i="6"/>
  <c r="P16" i="6"/>
  <c r="L47" i="5" l="1"/>
  <c r="Q116" i="6"/>
  <c r="D108" i="5"/>
  <c r="B52" i="5"/>
  <c r="R121" i="6"/>
  <c r="Q205" i="6"/>
  <c r="C38" i="5"/>
  <c r="G107" i="5"/>
  <c r="O41" i="5"/>
  <c r="Q121" i="6"/>
  <c r="Q263" i="6"/>
  <c r="Q210" i="6"/>
  <c r="Q200" i="6"/>
  <c r="Q202" i="6"/>
  <c r="I53" i="5"/>
  <c r="Q207" i="6"/>
  <c r="Q303" i="6"/>
  <c r="Q445" i="6"/>
  <c r="G51" i="5"/>
  <c r="R147" i="6"/>
  <c r="D112" i="5"/>
  <c r="C110" i="5"/>
  <c r="Q56" i="6"/>
  <c r="Q145" i="6"/>
  <c r="G46" i="5"/>
  <c r="Q228" i="6"/>
  <c r="R172" i="6"/>
  <c r="R44" i="6"/>
  <c r="R175" i="6"/>
  <c r="R85" i="6"/>
  <c r="O45" i="5"/>
  <c r="C48" i="5"/>
  <c r="Q201" i="6"/>
  <c r="Q106" i="6"/>
  <c r="Q114" i="6"/>
  <c r="Q27" i="6"/>
  <c r="Q455" i="6"/>
  <c r="Q135" i="6"/>
  <c r="F100" i="5"/>
  <c r="M41" i="5"/>
  <c r="R171" i="6"/>
  <c r="R167" i="6"/>
  <c r="R176" i="6"/>
  <c r="B42" i="5"/>
  <c r="Q259" i="6"/>
  <c r="R59" i="6"/>
  <c r="Q80" i="6"/>
  <c r="Q79" i="6"/>
  <c r="L38" i="5"/>
  <c r="Q149" i="6"/>
  <c r="Q273" i="6"/>
  <c r="Q51" i="6"/>
  <c r="R144" i="6"/>
  <c r="R137" i="6"/>
  <c r="D100" i="5"/>
  <c r="B100" i="5"/>
  <c r="Q147" i="6"/>
  <c r="K40" i="5"/>
  <c r="O51" i="5"/>
  <c r="R109" i="6"/>
  <c r="Q88" i="6"/>
  <c r="Q84" i="6"/>
  <c r="Q382" i="6"/>
  <c r="R88" i="6"/>
  <c r="R75" i="6"/>
  <c r="Q412" i="6"/>
  <c r="R47" i="6"/>
  <c r="F108" i="5"/>
  <c r="B53" i="5"/>
  <c r="Q109" i="6"/>
  <c r="Q298" i="6"/>
  <c r="E45" i="5"/>
  <c r="Q425" i="6"/>
  <c r="L40" i="5"/>
  <c r="Q451" i="6"/>
  <c r="B41" i="5"/>
  <c r="R170" i="6"/>
  <c r="G111" i="5"/>
  <c r="M48" i="5"/>
  <c r="Q331" i="6"/>
  <c r="M45" i="5"/>
  <c r="C100" i="5"/>
  <c r="Q46" i="6"/>
  <c r="E103" i="5"/>
  <c r="R180" i="6"/>
  <c r="Q198" i="6"/>
  <c r="Q260" i="6"/>
  <c r="Q262" i="6"/>
  <c r="Q269" i="6"/>
  <c r="Q175" i="6"/>
  <c r="Q140" i="6"/>
  <c r="C36" i="5"/>
  <c r="D36" i="5"/>
  <c r="R179" i="6"/>
  <c r="G108" i="5"/>
  <c r="P45" i="5"/>
  <c r="Q111" i="6"/>
  <c r="C105" i="5"/>
  <c r="Q49" i="6"/>
  <c r="Q151" i="6"/>
  <c r="C113" i="5"/>
  <c r="Q137" i="6"/>
  <c r="Q301" i="6"/>
  <c r="Q238" i="6"/>
  <c r="Q413" i="6"/>
  <c r="R80" i="6"/>
  <c r="B48" i="5"/>
  <c r="E107" i="5"/>
  <c r="K45" i="5"/>
  <c r="Q420" i="6"/>
  <c r="B112" i="5"/>
  <c r="D103" i="5"/>
  <c r="Q196" i="6"/>
  <c r="R206" i="6"/>
  <c r="I48" i="5"/>
  <c r="Q417" i="6"/>
  <c r="R49" i="6"/>
  <c r="O37" i="5"/>
  <c r="J40" i="5"/>
  <c r="F105" i="5"/>
  <c r="R83" i="6"/>
  <c r="R52" i="6"/>
  <c r="Q74" i="6"/>
  <c r="R114" i="6"/>
  <c r="L48" i="5"/>
  <c r="N40" i="5"/>
  <c r="R140" i="6"/>
  <c r="G52" i="5"/>
  <c r="R118" i="6"/>
  <c r="Q165" i="6"/>
  <c r="G113" i="5"/>
  <c r="Q335" i="6"/>
  <c r="Q385" i="6"/>
  <c r="R113" i="6"/>
  <c r="R57" i="6"/>
  <c r="R145" i="6"/>
  <c r="C101" i="5"/>
  <c r="Q52" i="6"/>
  <c r="Q83" i="6"/>
  <c r="R150" i="6"/>
  <c r="Q141" i="6"/>
  <c r="F113" i="5"/>
  <c r="K36" i="5"/>
  <c r="O38" i="5"/>
  <c r="Q396" i="6"/>
  <c r="R149" i="6"/>
  <c r="R139" i="6"/>
  <c r="P47" i="5"/>
  <c r="E43" i="5"/>
  <c r="F53" i="5"/>
  <c r="R54" i="6"/>
  <c r="R166" i="6"/>
  <c r="M40" i="5"/>
  <c r="Q229" i="6"/>
  <c r="E47" i="5"/>
  <c r="Q237" i="6"/>
  <c r="R79" i="6"/>
  <c r="Q170" i="6"/>
  <c r="Q305" i="6"/>
  <c r="Q351" i="6"/>
  <c r="R106" i="6"/>
  <c r="F51" i="5"/>
  <c r="Q325" i="6"/>
  <c r="Q364" i="6"/>
  <c r="Q452" i="6"/>
  <c r="Q90" i="6"/>
  <c r="Q53" i="6"/>
  <c r="R181" i="6"/>
  <c r="R198" i="6"/>
  <c r="Q393" i="6"/>
  <c r="Q43" i="6"/>
  <c r="R119" i="6"/>
  <c r="Q167" i="6"/>
  <c r="I52" i="5"/>
  <c r="Q395" i="6"/>
  <c r="Q179" i="6"/>
  <c r="J37" i="5"/>
  <c r="R105" i="6"/>
  <c r="Q115" i="6"/>
  <c r="R84" i="6"/>
  <c r="R43" i="6"/>
  <c r="R74" i="6"/>
  <c r="D52" i="5"/>
  <c r="R110" i="6"/>
  <c r="Q139" i="6"/>
  <c r="G43" i="5"/>
  <c r="Q233" i="6"/>
  <c r="Q268" i="6"/>
  <c r="J47" i="5"/>
  <c r="Q334" i="6"/>
  <c r="Q398" i="6"/>
  <c r="O48" i="5"/>
  <c r="Q383" i="6"/>
  <c r="R53" i="6"/>
  <c r="Q152" i="6"/>
  <c r="R201" i="6"/>
  <c r="E112" i="5"/>
  <c r="N36" i="5"/>
  <c r="B105" i="5"/>
  <c r="Q296" i="6"/>
  <c r="Q332" i="6"/>
  <c r="I50" i="5"/>
  <c r="Q44" i="6"/>
  <c r="E37" i="5"/>
  <c r="F42" i="5"/>
  <c r="G103" i="5"/>
  <c r="E51" i="5"/>
  <c r="Q359" i="6"/>
  <c r="Q119" i="6"/>
  <c r="H73" i="5"/>
  <c r="Q350" i="6"/>
  <c r="Q294" i="6"/>
  <c r="Q360" i="6"/>
  <c r="Q418" i="6"/>
  <c r="Q447" i="6"/>
  <c r="R48" i="6"/>
  <c r="Q89" i="6"/>
  <c r="Q322" i="6"/>
  <c r="Q177" i="6"/>
  <c r="Q423" i="6"/>
  <c r="Q387" i="6"/>
  <c r="R210" i="6"/>
  <c r="Q367" i="6"/>
  <c r="Q265" i="6"/>
  <c r="Q213" i="6"/>
  <c r="Q241" i="6"/>
  <c r="Q289" i="6"/>
  <c r="Q457" i="6"/>
  <c r="Q386" i="6"/>
  <c r="Q110" i="6"/>
  <c r="H14" i="5"/>
  <c r="Q264" i="6"/>
  <c r="Q304" i="6"/>
  <c r="Q336" i="6"/>
  <c r="Q337" i="6"/>
  <c r="Q448" i="6"/>
  <c r="Q427" i="6"/>
  <c r="N52" i="5"/>
  <c r="Q356" i="6"/>
  <c r="Q388" i="6"/>
  <c r="Q234" i="6"/>
  <c r="Q227" i="6"/>
  <c r="Q108" i="6"/>
  <c r="D40" i="5"/>
  <c r="Q82" i="6"/>
  <c r="C45" i="5"/>
  <c r="R205" i="6"/>
  <c r="R197" i="6"/>
  <c r="Q299" i="6"/>
  <c r="Q174" i="6"/>
  <c r="Q166" i="6"/>
  <c r="Q78" i="6"/>
  <c r="Q77" i="6"/>
  <c r="N46" i="5"/>
  <c r="Q327" i="6"/>
  <c r="K43" i="5"/>
  <c r="Q306" i="6"/>
  <c r="J53" i="5"/>
  <c r="Q242" i="6"/>
  <c r="M51" i="5"/>
  <c r="Q366" i="6"/>
  <c r="L52" i="5"/>
  <c r="Q381" i="6"/>
  <c r="R152" i="6"/>
  <c r="R141" i="6"/>
  <c r="E102" i="5"/>
  <c r="Q87" i="6"/>
  <c r="C50" i="5"/>
  <c r="Q57" i="6"/>
  <c r="B51" i="5"/>
  <c r="Q105" i="6"/>
  <c r="Q397" i="6"/>
  <c r="Q291" i="6"/>
  <c r="Q181" i="6"/>
  <c r="Q172" i="6"/>
  <c r="R27" i="6"/>
  <c r="Q295" i="6"/>
  <c r="J42" i="5"/>
  <c r="Q208" i="6"/>
  <c r="G48" i="5"/>
  <c r="R56" i="6"/>
  <c r="Q42" i="6"/>
  <c r="B36" i="5"/>
  <c r="Q330" i="6"/>
  <c r="R202" i="6"/>
  <c r="Q176" i="6"/>
  <c r="I36" i="5"/>
  <c r="Q326" i="6"/>
  <c r="Q426" i="6"/>
  <c r="Q441" i="6"/>
  <c r="Q357" i="6"/>
  <c r="Q458" i="6"/>
  <c r="O53" i="5"/>
  <c r="Q428" i="6"/>
  <c r="N53" i="5"/>
  <c r="Q244" i="6"/>
  <c r="M53" i="5"/>
  <c r="Q355" i="6"/>
  <c r="Q391" i="6"/>
  <c r="Q365" i="6"/>
  <c r="R136" i="6"/>
  <c r="R115" i="6"/>
  <c r="D107" i="5"/>
  <c r="R89" i="6"/>
  <c r="C112" i="5"/>
  <c r="Q113" i="6"/>
  <c r="Q243" i="6"/>
  <c r="Q416" i="6"/>
  <c r="R212" i="6"/>
  <c r="R200" i="6"/>
  <c r="Q169" i="6"/>
  <c r="Q118" i="6"/>
  <c r="L16" i="6"/>
  <c r="H102" i="5" s="1"/>
  <c r="D16" i="6"/>
  <c r="H42" i="5" s="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2" i="1"/>
  <c r="U22" i="1"/>
  <c r="T23" i="1"/>
  <c r="U23" i="1"/>
  <c r="T25" i="1"/>
  <c r="U25" i="1"/>
  <c r="T26" i="1"/>
  <c r="U26" i="1"/>
  <c r="T21" i="1"/>
  <c r="U21" i="1"/>
  <c r="T29" i="1"/>
  <c r="U29" i="1"/>
  <c r="T30" i="1"/>
  <c r="U30" i="1"/>
  <c r="T31" i="1"/>
  <c r="U31" i="1"/>
  <c r="T32" i="1"/>
  <c r="U32" i="1"/>
  <c r="T33" i="1"/>
  <c r="U33" i="1"/>
  <c r="T34" i="1"/>
  <c r="U34" i="1"/>
  <c r="T35" i="1"/>
  <c r="U35" i="1"/>
  <c r="T24" i="1"/>
  <c r="U24" i="1"/>
  <c r="T36" i="1"/>
  <c r="U36" i="1"/>
  <c r="T27" i="1"/>
  <c r="U27" i="1"/>
  <c r="T37" i="1"/>
  <c r="U37" i="1"/>
  <c r="T28" i="1"/>
  <c r="U28"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7" i="1"/>
  <c r="U57" i="1"/>
  <c r="T58" i="1"/>
  <c r="U58" i="1"/>
  <c r="T59" i="1"/>
  <c r="U59" i="1"/>
  <c r="T56" i="1"/>
  <c r="U56" i="1"/>
  <c r="T60" i="1"/>
  <c r="U60" i="1"/>
  <c r="T61" i="1"/>
  <c r="U61" i="1"/>
  <c r="T62" i="1"/>
  <c r="U62" i="1"/>
  <c r="T63" i="1"/>
  <c r="U63" i="1"/>
  <c r="T65" i="1"/>
  <c r="U65" i="1"/>
  <c r="T66" i="1"/>
  <c r="U66" i="1"/>
  <c r="T67" i="1"/>
  <c r="U67" i="1"/>
  <c r="T68" i="1"/>
  <c r="U68" i="1"/>
  <c r="T64" i="1"/>
  <c r="U64" i="1"/>
  <c r="T69" i="1"/>
  <c r="U69" i="1"/>
  <c r="T70" i="1"/>
  <c r="U70" i="1"/>
  <c r="T71" i="1"/>
  <c r="U71" i="1"/>
  <c r="T72" i="1"/>
  <c r="U72" i="1"/>
  <c r="T73" i="1"/>
  <c r="U73" i="1"/>
  <c r="T74" i="1"/>
  <c r="U74" i="1"/>
  <c r="T75" i="1"/>
  <c r="U75" i="1"/>
  <c r="T76" i="1"/>
  <c r="U76" i="1"/>
  <c r="T77" i="1"/>
  <c r="U77" i="1"/>
  <c r="T78" i="1"/>
  <c r="U78" i="1"/>
  <c r="T79" i="1"/>
  <c r="U79" i="1"/>
  <c r="T81" i="1"/>
  <c r="U81" i="1"/>
  <c r="T80" i="1"/>
  <c r="U80" i="1"/>
  <c r="T82" i="1"/>
  <c r="U82" i="1"/>
  <c r="T83" i="1"/>
  <c r="U83" i="1"/>
  <c r="T84" i="1"/>
  <c r="U84" i="1"/>
  <c r="T85" i="1"/>
  <c r="U85" i="1"/>
  <c r="T86" i="1"/>
  <c r="U86" i="1"/>
  <c r="T87" i="1"/>
  <c r="U87" i="1"/>
  <c r="T88" i="1"/>
  <c r="U88" i="1"/>
  <c r="T89" i="1"/>
  <c r="U89" i="1"/>
  <c r="T90" i="1"/>
  <c r="U90" i="1"/>
  <c r="T91" i="1"/>
  <c r="U91" i="1"/>
  <c r="T92" i="1"/>
  <c r="U92" i="1"/>
  <c r="T93" i="1"/>
  <c r="U93" i="1"/>
  <c r="T122" i="1"/>
  <c r="U122" i="1"/>
  <c r="T123" i="1"/>
  <c r="U123" i="1"/>
  <c r="T124" i="1"/>
  <c r="U124" i="1"/>
  <c r="T125" i="1"/>
  <c r="U125" i="1"/>
  <c r="T126" i="1"/>
  <c r="U126" i="1"/>
  <c r="T127" i="1"/>
  <c r="U127" i="1"/>
  <c r="T128" i="1"/>
  <c r="U128" i="1"/>
  <c r="T129" i="1"/>
  <c r="U129" i="1"/>
  <c r="T130" i="1"/>
  <c r="U130" i="1"/>
  <c r="T131" i="1"/>
  <c r="U131" i="1"/>
  <c r="T132" i="1"/>
  <c r="U132" i="1"/>
  <c r="T133" i="1"/>
  <c r="U133" i="1"/>
  <c r="T134" i="1"/>
  <c r="U134" i="1"/>
  <c r="T135" i="1"/>
  <c r="U135" i="1"/>
  <c r="T136" i="1"/>
  <c r="U136" i="1"/>
  <c r="T137" i="1"/>
  <c r="U137" i="1"/>
  <c r="T138" i="1"/>
  <c r="U138" i="1"/>
  <c r="T139" i="1"/>
  <c r="U139" i="1"/>
  <c r="T140" i="1"/>
  <c r="U140" i="1"/>
  <c r="T141" i="1"/>
  <c r="U141" i="1"/>
  <c r="T142" i="1"/>
  <c r="U142" i="1"/>
  <c r="T143" i="1"/>
  <c r="U143" i="1"/>
  <c r="T144" i="1"/>
  <c r="U144" i="1"/>
  <c r="T145" i="1"/>
  <c r="U145" i="1"/>
  <c r="T146" i="1"/>
  <c r="U146" i="1"/>
  <c r="T147" i="1"/>
  <c r="U147" i="1"/>
  <c r="T148" i="1"/>
  <c r="U148" i="1"/>
  <c r="T149" i="1"/>
  <c r="U149" i="1"/>
  <c r="T150" i="1"/>
  <c r="U150" i="1"/>
  <c r="T151" i="1"/>
  <c r="U151" i="1"/>
  <c r="T152" i="1"/>
  <c r="U152" i="1"/>
  <c r="T153" i="1"/>
  <c r="U153" i="1"/>
  <c r="T154" i="1"/>
  <c r="U154" i="1"/>
  <c r="T155" i="1"/>
  <c r="U155" i="1"/>
  <c r="T156" i="1"/>
  <c r="U156" i="1"/>
  <c r="T157" i="1"/>
  <c r="U157" i="1"/>
  <c r="T158" i="1"/>
  <c r="U158" i="1"/>
  <c r="T159" i="1"/>
  <c r="U159" i="1"/>
  <c r="T161" i="1"/>
  <c r="U161" i="1"/>
  <c r="T162" i="1"/>
  <c r="U162" i="1"/>
  <c r="T163" i="1"/>
  <c r="U163" i="1"/>
  <c r="T164" i="1"/>
  <c r="U164" i="1"/>
  <c r="T165" i="1"/>
  <c r="U165" i="1"/>
  <c r="T166" i="1"/>
  <c r="U166" i="1"/>
  <c r="T167" i="1"/>
  <c r="U167" i="1"/>
  <c r="T168" i="1"/>
  <c r="U168" i="1"/>
  <c r="T160" i="1"/>
  <c r="U160" i="1"/>
  <c r="T169" i="1"/>
  <c r="U169" i="1"/>
  <c r="T170" i="1"/>
  <c r="U170" i="1"/>
  <c r="T172" i="1"/>
  <c r="U172" i="1"/>
  <c r="T174" i="1"/>
  <c r="U174" i="1"/>
  <c r="T173" i="1"/>
  <c r="U173" i="1"/>
  <c r="T175" i="1"/>
  <c r="U175" i="1"/>
  <c r="T176" i="1"/>
  <c r="U176" i="1"/>
  <c r="T177" i="1"/>
  <c r="U177" i="1"/>
  <c r="T178" i="1"/>
  <c r="U178" i="1"/>
  <c r="T179" i="1"/>
  <c r="U179" i="1"/>
  <c r="T180" i="1"/>
  <c r="U180" i="1"/>
  <c r="T181" i="1"/>
  <c r="U181" i="1"/>
  <c r="T182" i="1"/>
  <c r="U182" i="1"/>
  <c r="T183" i="1"/>
  <c r="U183" i="1"/>
  <c r="T185" i="1"/>
  <c r="U185" i="1"/>
  <c r="T187" i="1"/>
  <c r="U187" i="1"/>
  <c r="T188" i="1"/>
  <c r="U188" i="1"/>
  <c r="T189" i="1"/>
  <c r="U189" i="1"/>
  <c r="T190" i="1"/>
  <c r="U190" i="1"/>
  <c r="T191" i="1"/>
  <c r="U191" i="1"/>
  <c r="T184" i="1"/>
  <c r="U184" i="1"/>
  <c r="T192" i="1"/>
  <c r="U192" i="1"/>
  <c r="T193" i="1"/>
  <c r="U193" i="1"/>
  <c r="T194" i="1"/>
  <c r="U194" i="1"/>
  <c r="T186" i="1"/>
  <c r="U186" i="1"/>
  <c r="T195" i="1"/>
  <c r="U195" i="1"/>
  <c r="T196" i="1"/>
  <c r="U196" i="1"/>
  <c r="T197" i="1"/>
  <c r="U197" i="1"/>
  <c r="T198" i="1"/>
  <c r="U198" i="1"/>
  <c r="T199" i="1"/>
  <c r="U199" i="1"/>
  <c r="T200" i="1"/>
  <c r="U200" i="1"/>
  <c r="T201" i="1"/>
  <c r="U201" i="1"/>
  <c r="T202" i="1"/>
  <c r="U202" i="1"/>
  <c r="T203" i="1"/>
  <c r="U203" i="1"/>
  <c r="T204" i="1"/>
  <c r="U204" i="1"/>
  <c r="T205" i="1"/>
  <c r="U205" i="1"/>
  <c r="T206" i="1"/>
  <c r="U206" i="1"/>
  <c r="T207" i="1"/>
  <c r="U207" i="1"/>
  <c r="T208" i="1"/>
  <c r="U208" i="1"/>
  <c r="T209" i="1"/>
  <c r="U209" i="1"/>
  <c r="T210" i="1"/>
  <c r="U210" i="1"/>
  <c r="T211" i="1"/>
  <c r="U211" i="1"/>
  <c r="T212" i="1"/>
  <c r="U212" i="1"/>
  <c r="T213" i="1"/>
  <c r="U213" i="1"/>
  <c r="T214" i="1"/>
  <c r="U214" i="1"/>
  <c r="T215" i="1"/>
  <c r="U215" i="1"/>
  <c r="T216" i="1"/>
  <c r="U216" i="1"/>
  <c r="T217" i="1"/>
  <c r="U217" i="1"/>
  <c r="T218" i="1"/>
  <c r="U218" i="1"/>
  <c r="T219" i="1"/>
  <c r="U219" i="1"/>
  <c r="T220" i="1"/>
  <c r="U220" i="1"/>
  <c r="T221" i="1"/>
  <c r="U221" i="1"/>
  <c r="T222" i="1"/>
  <c r="U222" i="1"/>
  <c r="T223" i="1"/>
  <c r="U223" i="1"/>
  <c r="T224" i="1"/>
  <c r="U224" i="1"/>
  <c r="T226" i="1"/>
  <c r="U226" i="1"/>
  <c r="T225" i="1"/>
  <c r="U225" i="1"/>
  <c r="T227" i="1"/>
  <c r="U227" i="1"/>
  <c r="T228" i="1"/>
  <c r="U228" i="1"/>
  <c r="T229" i="1"/>
  <c r="U229" i="1"/>
  <c r="T230" i="1"/>
  <c r="U230" i="1"/>
  <c r="T231" i="1"/>
  <c r="U231" i="1"/>
  <c r="T232" i="1"/>
  <c r="U232" i="1"/>
  <c r="T233" i="1"/>
  <c r="U233" i="1"/>
  <c r="T234" i="1"/>
  <c r="U234" i="1"/>
  <c r="T235" i="1"/>
  <c r="U235" i="1"/>
  <c r="T236" i="1"/>
  <c r="U236" i="1"/>
  <c r="T237" i="1"/>
  <c r="U237" i="1"/>
  <c r="T238" i="1"/>
  <c r="U238" i="1"/>
  <c r="T239" i="1"/>
  <c r="U239" i="1"/>
  <c r="T240" i="1"/>
  <c r="U240" i="1"/>
  <c r="T241" i="1"/>
  <c r="U241" i="1"/>
  <c r="T242" i="1"/>
  <c r="U242" i="1"/>
  <c r="T243" i="1"/>
  <c r="U243" i="1"/>
  <c r="T244" i="1"/>
  <c r="U244" i="1"/>
  <c r="T245" i="1"/>
  <c r="U245" i="1"/>
  <c r="T246" i="1"/>
  <c r="U246" i="1"/>
  <c r="T247" i="1"/>
  <c r="U247" i="1"/>
  <c r="T248" i="1"/>
  <c r="U248" i="1"/>
  <c r="T249" i="1"/>
  <c r="U249" i="1"/>
  <c r="T250" i="1"/>
  <c r="U250" i="1"/>
  <c r="T251" i="1"/>
  <c r="U251" i="1"/>
  <c r="T252" i="1"/>
  <c r="U252" i="1"/>
  <c r="T253" i="1"/>
  <c r="U253" i="1"/>
  <c r="T254" i="1"/>
  <c r="U254" i="1"/>
  <c r="T255" i="1"/>
  <c r="U255" i="1"/>
  <c r="T256" i="1"/>
  <c r="U256" i="1"/>
  <c r="T257" i="1"/>
  <c r="U257" i="1"/>
  <c r="T258" i="1"/>
  <c r="U258" i="1"/>
  <c r="T259" i="1"/>
  <c r="U259" i="1"/>
  <c r="T260" i="1"/>
  <c r="U260" i="1"/>
  <c r="T261" i="1"/>
  <c r="U261" i="1"/>
  <c r="T262" i="1"/>
  <c r="U262" i="1"/>
  <c r="T263" i="1"/>
  <c r="U263" i="1"/>
  <c r="T264" i="1"/>
  <c r="U264" i="1"/>
  <c r="T265" i="1"/>
  <c r="U265" i="1"/>
  <c r="T266" i="1"/>
  <c r="U266" i="1"/>
  <c r="T267" i="1"/>
  <c r="U267" i="1"/>
  <c r="T268" i="1"/>
  <c r="U268" i="1"/>
  <c r="T269" i="1"/>
  <c r="U269" i="1"/>
  <c r="T270" i="1"/>
  <c r="U270" i="1"/>
  <c r="T271" i="1"/>
  <c r="U271" i="1"/>
  <c r="T272" i="1"/>
  <c r="U272" i="1"/>
  <c r="T273" i="1"/>
  <c r="U273" i="1"/>
  <c r="T274" i="1"/>
  <c r="U274" i="1"/>
  <c r="T275" i="1"/>
  <c r="U275" i="1"/>
  <c r="T276" i="1"/>
  <c r="U276" i="1"/>
  <c r="T277" i="1"/>
  <c r="U277" i="1"/>
  <c r="T278" i="1"/>
  <c r="U278" i="1"/>
  <c r="T279" i="1"/>
  <c r="U279" i="1"/>
  <c r="T280" i="1"/>
  <c r="U280" i="1"/>
  <c r="T281" i="1"/>
  <c r="U281" i="1"/>
  <c r="T282" i="1"/>
  <c r="U282" i="1"/>
  <c r="T283" i="1"/>
  <c r="U283" i="1"/>
  <c r="T284" i="1"/>
  <c r="U284" i="1"/>
  <c r="T285" i="1"/>
  <c r="U285" i="1"/>
  <c r="T286" i="1"/>
  <c r="U286" i="1"/>
  <c r="T287" i="1"/>
  <c r="U287" i="1"/>
  <c r="T288" i="1"/>
  <c r="U288" i="1"/>
  <c r="T289" i="1"/>
  <c r="U289" i="1"/>
  <c r="T290" i="1"/>
  <c r="U290" i="1"/>
  <c r="T291" i="1"/>
  <c r="U291" i="1"/>
  <c r="T292" i="1"/>
  <c r="U292" i="1"/>
  <c r="T293" i="1"/>
  <c r="U293" i="1"/>
  <c r="T294" i="1"/>
  <c r="U294" i="1"/>
  <c r="T295" i="1"/>
  <c r="U295" i="1"/>
  <c r="T296" i="1"/>
  <c r="U296" i="1"/>
  <c r="T297" i="1"/>
  <c r="U297" i="1"/>
  <c r="T298" i="1"/>
  <c r="U298" i="1"/>
  <c r="T299" i="1"/>
  <c r="U299" i="1"/>
  <c r="T300" i="1"/>
  <c r="U300" i="1"/>
  <c r="T301" i="1"/>
  <c r="U301" i="1"/>
  <c r="T302" i="1"/>
  <c r="U302" i="1"/>
  <c r="T303" i="1"/>
  <c r="U303" i="1"/>
  <c r="T304" i="1"/>
  <c r="U304" i="1"/>
  <c r="T305" i="1"/>
  <c r="U305" i="1"/>
  <c r="T306" i="1"/>
  <c r="U306" i="1"/>
  <c r="T307" i="1"/>
  <c r="U307" i="1"/>
  <c r="T308" i="1"/>
  <c r="U308" i="1"/>
  <c r="T310" i="1"/>
  <c r="U310" i="1"/>
  <c r="T312" i="1"/>
  <c r="U312" i="1"/>
  <c r="T313" i="1"/>
  <c r="U313" i="1"/>
  <c r="T309" i="1"/>
  <c r="U309" i="1"/>
  <c r="T311" i="1"/>
  <c r="U311" i="1"/>
  <c r="T314" i="1"/>
  <c r="U314" i="1"/>
  <c r="T315" i="1"/>
  <c r="U315" i="1"/>
  <c r="T316" i="1"/>
  <c r="U316" i="1"/>
  <c r="T317" i="1"/>
  <c r="U317" i="1"/>
  <c r="T318" i="1"/>
  <c r="U318" i="1"/>
  <c r="T319" i="1"/>
  <c r="U319" i="1"/>
  <c r="T320" i="1"/>
  <c r="U320" i="1"/>
  <c r="T321" i="1"/>
  <c r="U321" i="1"/>
  <c r="T322" i="1"/>
  <c r="U322" i="1"/>
  <c r="T323" i="1"/>
  <c r="U323" i="1"/>
  <c r="T324" i="1"/>
  <c r="U324" i="1"/>
  <c r="T325" i="1"/>
  <c r="U325" i="1"/>
  <c r="T326" i="1"/>
  <c r="U326" i="1"/>
  <c r="T327" i="1"/>
  <c r="U327" i="1"/>
  <c r="T328" i="1"/>
  <c r="U328" i="1"/>
  <c r="T329" i="1"/>
  <c r="U329" i="1"/>
  <c r="T330" i="1"/>
  <c r="U330" i="1"/>
  <c r="T331" i="1"/>
  <c r="U331" i="1"/>
  <c r="T332" i="1"/>
  <c r="U332" i="1"/>
  <c r="T333" i="1"/>
  <c r="U333" i="1"/>
  <c r="T334" i="1"/>
  <c r="U334" i="1"/>
  <c r="T336" i="1"/>
  <c r="U336" i="1"/>
  <c r="T338" i="1"/>
  <c r="U338" i="1"/>
  <c r="T339" i="1"/>
  <c r="U339" i="1"/>
  <c r="T340" i="1"/>
  <c r="U340" i="1"/>
  <c r="T341" i="1"/>
  <c r="U341" i="1"/>
  <c r="T335" i="1"/>
  <c r="U335" i="1"/>
  <c r="T342" i="1"/>
  <c r="U342" i="1"/>
  <c r="T343" i="1"/>
  <c r="U343" i="1"/>
  <c r="T344" i="1"/>
  <c r="U344" i="1"/>
  <c r="T337" i="1"/>
  <c r="U337" i="1"/>
  <c r="T345" i="1"/>
  <c r="U345" i="1"/>
  <c r="T346" i="1"/>
  <c r="U346" i="1"/>
  <c r="T347" i="1"/>
  <c r="U347" i="1"/>
  <c r="T348" i="1"/>
  <c r="U348" i="1"/>
  <c r="T349" i="1"/>
  <c r="U349" i="1"/>
  <c r="T350" i="1"/>
  <c r="U350" i="1"/>
  <c r="T351" i="1"/>
  <c r="U351" i="1"/>
  <c r="T352" i="1"/>
  <c r="U352" i="1"/>
  <c r="T353" i="1"/>
  <c r="U353" i="1"/>
  <c r="T354" i="1"/>
  <c r="U354" i="1"/>
  <c r="T355" i="1"/>
  <c r="U355" i="1"/>
  <c r="T357" i="1"/>
  <c r="U357" i="1"/>
  <c r="T358" i="1"/>
  <c r="U358" i="1"/>
  <c r="T359" i="1"/>
  <c r="U359" i="1"/>
  <c r="T356" i="1"/>
  <c r="U356" i="1"/>
  <c r="T360" i="1"/>
  <c r="U360" i="1"/>
  <c r="T361" i="1"/>
  <c r="U361" i="1"/>
  <c r="T362" i="1"/>
  <c r="U362" i="1"/>
  <c r="T363" i="1"/>
  <c r="U363" i="1"/>
  <c r="T365" i="1"/>
  <c r="U365" i="1"/>
  <c r="T366" i="1"/>
  <c r="U366" i="1"/>
  <c r="T368" i="1"/>
  <c r="U368" i="1"/>
  <c r="T369" i="1"/>
  <c r="U369" i="1"/>
  <c r="T371" i="1"/>
  <c r="U371" i="1"/>
  <c r="T372" i="1"/>
  <c r="U372" i="1"/>
  <c r="T364" i="1"/>
  <c r="U364" i="1"/>
  <c r="T373" i="1"/>
  <c r="U373" i="1"/>
  <c r="T374" i="1"/>
  <c r="U374" i="1"/>
  <c r="T367" i="1"/>
  <c r="U367" i="1"/>
  <c r="T375" i="1"/>
  <c r="U375" i="1"/>
  <c r="T370" i="1"/>
  <c r="U370" i="1"/>
  <c r="T376" i="1"/>
  <c r="U376" i="1"/>
  <c r="T377" i="1"/>
  <c r="U377" i="1"/>
  <c r="T378" i="1"/>
  <c r="U378" i="1"/>
  <c r="T379" i="1"/>
  <c r="U379" i="1"/>
  <c r="T380" i="1"/>
  <c r="U380" i="1"/>
  <c r="T381" i="1"/>
  <c r="U381" i="1"/>
  <c r="T382" i="1"/>
  <c r="U382" i="1"/>
  <c r="T383" i="1"/>
  <c r="U383" i="1"/>
  <c r="T384" i="1"/>
  <c r="U384" i="1"/>
  <c r="T385" i="1"/>
  <c r="U385" i="1"/>
  <c r="T386" i="1"/>
  <c r="U386" i="1"/>
  <c r="T387" i="1"/>
  <c r="U387" i="1"/>
  <c r="T388" i="1"/>
  <c r="U388" i="1"/>
  <c r="T389" i="1"/>
  <c r="U389" i="1"/>
  <c r="T390" i="1"/>
  <c r="U390" i="1"/>
  <c r="T391" i="1"/>
  <c r="U391" i="1"/>
  <c r="T392" i="1"/>
  <c r="U392" i="1"/>
  <c r="T393" i="1"/>
  <c r="U393" i="1"/>
  <c r="T394" i="1"/>
  <c r="U394" i="1"/>
  <c r="T395" i="1"/>
  <c r="U395" i="1"/>
  <c r="T396" i="1"/>
  <c r="U396" i="1"/>
  <c r="T397" i="1"/>
  <c r="U397" i="1"/>
  <c r="T398" i="1"/>
  <c r="U398" i="1"/>
  <c r="T399" i="1"/>
  <c r="U399" i="1"/>
  <c r="T400" i="1"/>
  <c r="U400" i="1"/>
  <c r="T401" i="1"/>
  <c r="U401" i="1"/>
  <c r="T402" i="1"/>
  <c r="U402" i="1"/>
  <c r="T403" i="1"/>
  <c r="U403" i="1"/>
  <c r="T404" i="1"/>
  <c r="U404" i="1"/>
  <c r="T405" i="1"/>
  <c r="U405" i="1"/>
  <c r="T406" i="1"/>
  <c r="U406" i="1"/>
  <c r="T407" i="1"/>
  <c r="U407" i="1"/>
  <c r="T408" i="1"/>
  <c r="U408" i="1"/>
  <c r="T409" i="1"/>
  <c r="U409" i="1"/>
  <c r="T410" i="1"/>
  <c r="U410" i="1"/>
  <c r="T411" i="1"/>
  <c r="U411" i="1"/>
  <c r="T412" i="1"/>
  <c r="U412" i="1"/>
  <c r="T413" i="1"/>
  <c r="U413" i="1"/>
  <c r="T414" i="1"/>
  <c r="U414" i="1"/>
  <c r="T415" i="1"/>
  <c r="U415" i="1"/>
  <c r="T416" i="1"/>
  <c r="U416" i="1"/>
  <c r="T417" i="1"/>
  <c r="U417" i="1"/>
  <c r="T418" i="1"/>
  <c r="U418" i="1"/>
  <c r="T419" i="1"/>
  <c r="U419" i="1"/>
  <c r="T420" i="1"/>
  <c r="U420" i="1"/>
  <c r="T421" i="1"/>
  <c r="U421" i="1"/>
  <c r="T422" i="1"/>
  <c r="U422" i="1"/>
  <c r="T423" i="1"/>
  <c r="U423" i="1"/>
  <c r="T424" i="1"/>
  <c r="U424" i="1"/>
  <c r="T425" i="1"/>
  <c r="U425" i="1"/>
  <c r="T426" i="1"/>
  <c r="U426" i="1"/>
  <c r="T427" i="1"/>
  <c r="U427" i="1"/>
  <c r="T428" i="1"/>
  <c r="U428" i="1"/>
  <c r="T429" i="1"/>
  <c r="U429" i="1"/>
  <c r="T431" i="1"/>
  <c r="U431" i="1"/>
  <c r="T432" i="1"/>
  <c r="U432" i="1"/>
  <c r="T433" i="1"/>
  <c r="U433" i="1"/>
  <c r="T434" i="1"/>
  <c r="U434" i="1"/>
  <c r="T430" i="1"/>
  <c r="U430" i="1"/>
  <c r="T435" i="1"/>
  <c r="U435" i="1"/>
  <c r="T436" i="1"/>
  <c r="U436" i="1"/>
  <c r="T437" i="1"/>
  <c r="U437" i="1"/>
  <c r="T438" i="1"/>
  <c r="U438" i="1"/>
  <c r="T439" i="1"/>
  <c r="U439" i="1"/>
  <c r="T440" i="1"/>
  <c r="U440" i="1"/>
  <c r="T441" i="1"/>
  <c r="U441" i="1"/>
  <c r="T442" i="1"/>
  <c r="U442" i="1"/>
  <c r="T443" i="1"/>
  <c r="U443" i="1"/>
  <c r="T444" i="1"/>
  <c r="U444" i="1"/>
  <c r="T445" i="1"/>
  <c r="U445" i="1"/>
  <c r="T446" i="1"/>
  <c r="U446" i="1"/>
  <c r="T447" i="1"/>
  <c r="U447" i="1"/>
  <c r="T448" i="1"/>
  <c r="U448" i="1"/>
  <c r="T449" i="1"/>
  <c r="U449" i="1"/>
  <c r="T450" i="1"/>
  <c r="U450" i="1"/>
  <c r="T451" i="1"/>
  <c r="U451" i="1"/>
  <c r="T453" i="1"/>
  <c r="U453" i="1"/>
  <c r="T454" i="1"/>
  <c r="U454" i="1"/>
  <c r="T455" i="1"/>
  <c r="U455" i="1"/>
  <c r="T456" i="1"/>
  <c r="U456" i="1"/>
  <c r="T457" i="1"/>
  <c r="U457" i="1"/>
  <c r="T458" i="1"/>
  <c r="U458" i="1"/>
  <c r="T459" i="1"/>
  <c r="U459" i="1"/>
  <c r="T460" i="1"/>
  <c r="U460" i="1"/>
  <c r="T461" i="1"/>
  <c r="U461" i="1"/>
  <c r="T462" i="1"/>
  <c r="U462" i="1"/>
  <c r="T463" i="1"/>
  <c r="U463" i="1"/>
  <c r="T464" i="1"/>
  <c r="U464" i="1"/>
  <c r="T465" i="1"/>
  <c r="U465" i="1"/>
  <c r="T466" i="1"/>
  <c r="U466" i="1"/>
  <c r="T467" i="1"/>
  <c r="U467" i="1"/>
  <c r="T470" i="1"/>
  <c r="U470" i="1"/>
  <c r="T471" i="1"/>
  <c r="U471" i="1"/>
  <c r="T472" i="1"/>
  <c r="U472" i="1"/>
  <c r="T473" i="1"/>
  <c r="U473" i="1"/>
  <c r="T474" i="1"/>
  <c r="U474" i="1"/>
  <c r="T475" i="1"/>
  <c r="U475" i="1"/>
  <c r="T476" i="1"/>
  <c r="U476" i="1"/>
  <c r="T477" i="1"/>
  <c r="U477" i="1"/>
  <c r="T478" i="1"/>
  <c r="U478" i="1"/>
  <c r="T479" i="1"/>
  <c r="U479" i="1"/>
  <c r="T452" i="1"/>
  <c r="U452" i="1"/>
  <c r="T480" i="1"/>
  <c r="U480" i="1"/>
  <c r="T481" i="1"/>
  <c r="U481" i="1"/>
  <c r="T482" i="1"/>
  <c r="U482" i="1"/>
  <c r="T484" i="1"/>
  <c r="U484" i="1"/>
  <c r="T485" i="1"/>
  <c r="U485" i="1"/>
  <c r="T486" i="1"/>
  <c r="U486" i="1"/>
  <c r="T487" i="1"/>
  <c r="U487" i="1"/>
  <c r="T488" i="1"/>
  <c r="U488" i="1"/>
  <c r="T489" i="1"/>
  <c r="U489" i="1"/>
  <c r="T468" i="1"/>
  <c r="U468" i="1"/>
  <c r="T469" i="1"/>
  <c r="U469" i="1"/>
  <c r="T490" i="1"/>
  <c r="U490" i="1"/>
  <c r="T491" i="1"/>
  <c r="U491" i="1"/>
  <c r="T492" i="1"/>
  <c r="U492" i="1"/>
  <c r="T493" i="1"/>
  <c r="U493" i="1"/>
  <c r="T494" i="1"/>
  <c r="U494" i="1"/>
  <c r="T495" i="1"/>
  <c r="U495" i="1"/>
  <c r="T496" i="1"/>
  <c r="U496" i="1"/>
  <c r="T497" i="1"/>
  <c r="U497" i="1"/>
  <c r="T498" i="1"/>
  <c r="U498" i="1"/>
  <c r="T499" i="1"/>
  <c r="U499" i="1"/>
  <c r="T483" i="1"/>
  <c r="U483" i="1"/>
  <c r="T500" i="1"/>
  <c r="U500" i="1"/>
  <c r="T501" i="1"/>
  <c r="U501" i="1"/>
  <c r="T502" i="1"/>
  <c r="U502" i="1"/>
  <c r="T503" i="1"/>
  <c r="U503" i="1"/>
  <c r="T504" i="1"/>
  <c r="U504" i="1"/>
  <c r="T505" i="1"/>
  <c r="U505" i="1"/>
  <c r="T506" i="1"/>
  <c r="U506" i="1"/>
  <c r="T507" i="1"/>
  <c r="U507" i="1"/>
  <c r="T508" i="1"/>
  <c r="U508" i="1"/>
  <c r="T509" i="1"/>
  <c r="U509" i="1"/>
  <c r="T510" i="1"/>
  <c r="U510" i="1"/>
  <c r="T511" i="1"/>
  <c r="U511" i="1"/>
  <c r="T512" i="1"/>
  <c r="U512" i="1"/>
  <c r="T513" i="1"/>
  <c r="U513" i="1"/>
  <c r="T514" i="1"/>
  <c r="U514" i="1"/>
  <c r="T515" i="1"/>
  <c r="U515" i="1"/>
  <c r="T516" i="1"/>
  <c r="U516" i="1"/>
  <c r="T517" i="1"/>
  <c r="U517" i="1"/>
  <c r="T518" i="1"/>
  <c r="U518" i="1"/>
  <c r="T519" i="1"/>
  <c r="U519" i="1"/>
  <c r="T520" i="1"/>
  <c r="U520" i="1"/>
  <c r="T521" i="1"/>
  <c r="U521" i="1"/>
  <c r="T522" i="1"/>
  <c r="U522" i="1"/>
  <c r="T523" i="1"/>
  <c r="U523" i="1"/>
  <c r="T524" i="1"/>
  <c r="U524" i="1"/>
  <c r="T525" i="1"/>
  <c r="U525" i="1"/>
  <c r="T526" i="1"/>
  <c r="U526" i="1"/>
  <c r="T527" i="1"/>
  <c r="U527" i="1"/>
  <c r="T528" i="1"/>
  <c r="U528" i="1"/>
  <c r="T529" i="1"/>
  <c r="U529" i="1"/>
  <c r="T530" i="1"/>
  <c r="U530" i="1"/>
  <c r="T531" i="1"/>
  <c r="U531" i="1"/>
  <c r="T532" i="1"/>
  <c r="U532" i="1"/>
  <c r="T533" i="1"/>
  <c r="U533" i="1"/>
  <c r="T535" i="1"/>
  <c r="U535" i="1"/>
  <c r="T536" i="1"/>
  <c r="U536" i="1"/>
  <c r="T537" i="1"/>
  <c r="U537" i="1"/>
  <c r="T538" i="1"/>
  <c r="U538" i="1"/>
  <c r="T540" i="1"/>
  <c r="U540" i="1"/>
  <c r="T541" i="1"/>
  <c r="U541" i="1"/>
  <c r="T542" i="1"/>
  <c r="U542" i="1"/>
  <c r="T534" i="1"/>
  <c r="U534" i="1"/>
  <c r="T543" i="1"/>
  <c r="U543" i="1"/>
  <c r="T544" i="1"/>
  <c r="U544" i="1"/>
  <c r="T545" i="1"/>
  <c r="U545" i="1"/>
  <c r="T546" i="1"/>
  <c r="U546" i="1"/>
  <c r="T539" i="1"/>
  <c r="U539" i="1"/>
  <c r="T547" i="1"/>
  <c r="T548" i="1"/>
  <c r="T549" i="1"/>
  <c r="U549" i="1"/>
  <c r="T550" i="1"/>
  <c r="U550" i="1"/>
  <c r="T551" i="1"/>
  <c r="U551" i="1"/>
  <c r="T552" i="1"/>
  <c r="U552" i="1"/>
  <c r="T553" i="1"/>
  <c r="U553" i="1"/>
  <c r="T554" i="1"/>
  <c r="U554" i="1"/>
  <c r="T555" i="1"/>
  <c r="U555" i="1"/>
  <c r="T556" i="1"/>
  <c r="U556" i="1"/>
  <c r="T557" i="1"/>
  <c r="U557" i="1"/>
  <c r="T558" i="1"/>
  <c r="U558" i="1"/>
  <c r="T560" i="1"/>
  <c r="U560" i="1"/>
  <c r="T561" i="1"/>
  <c r="U561" i="1"/>
  <c r="T562" i="1"/>
  <c r="U562" i="1"/>
  <c r="T563" i="1"/>
  <c r="U563" i="1"/>
  <c r="T564" i="1"/>
  <c r="U564" i="1"/>
  <c r="T565" i="1"/>
  <c r="U565" i="1"/>
  <c r="T566" i="1"/>
  <c r="U566" i="1"/>
  <c r="T567" i="1"/>
  <c r="U567" i="1"/>
  <c r="T559" i="1"/>
  <c r="U559" i="1"/>
  <c r="T94" i="1"/>
  <c r="U94" i="1"/>
  <c r="T95" i="1"/>
  <c r="U95" i="1"/>
  <c r="T96" i="1"/>
  <c r="U96" i="1"/>
  <c r="T99" i="1"/>
  <c r="U99" i="1"/>
  <c r="T100" i="1"/>
  <c r="U100" i="1"/>
  <c r="T101" i="1"/>
  <c r="U101" i="1"/>
  <c r="T102" i="1"/>
  <c r="U102" i="1"/>
  <c r="T103" i="1"/>
  <c r="U103" i="1"/>
  <c r="T104" i="1"/>
  <c r="U104" i="1"/>
  <c r="T97" i="1"/>
  <c r="U97" i="1"/>
  <c r="T105" i="1"/>
  <c r="U105" i="1"/>
  <c r="T98" i="1"/>
  <c r="U98" i="1"/>
  <c r="T106" i="1"/>
  <c r="U106" i="1"/>
  <c r="T107" i="1"/>
  <c r="U107" i="1"/>
  <c r="T108" i="1"/>
  <c r="U108" i="1"/>
  <c r="T109" i="1"/>
  <c r="U109" i="1"/>
  <c r="T110" i="1"/>
  <c r="U110" i="1"/>
  <c r="T111" i="1"/>
  <c r="U111" i="1"/>
  <c r="T112" i="1"/>
  <c r="U112" i="1"/>
  <c r="T113" i="1"/>
  <c r="U113" i="1"/>
  <c r="T114" i="1"/>
  <c r="U114" i="1"/>
  <c r="T115" i="1"/>
  <c r="U115" i="1"/>
  <c r="T116" i="1"/>
  <c r="U116" i="1"/>
  <c r="T117" i="1"/>
  <c r="U117" i="1"/>
  <c r="T118" i="1"/>
  <c r="U118" i="1"/>
  <c r="T119" i="1"/>
  <c r="U119" i="1"/>
  <c r="T120" i="1"/>
  <c r="U120" i="1"/>
  <c r="T121" i="1"/>
  <c r="U121" i="1"/>
  <c r="F7" i="1"/>
  <c r="G7" i="1"/>
  <c r="F8" i="1"/>
  <c r="G8" i="1"/>
  <c r="F9" i="1"/>
  <c r="G9" i="1"/>
  <c r="F10" i="1"/>
  <c r="G10" i="1"/>
  <c r="F11" i="1"/>
  <c r="G11" i="1"/>
  <c r="F12" i="1"/>
  <c r="G12" i="1"/>
  <c r="F13" i="1"/>
  <c r="G13" i="1"/>
  <c r="F14" i="1"/>
  <c r="G14" i="1"/>
  <c r="F15" i="1"/>
  <c r="G15" i="1"/>
  <c r="F16" i="1"/>
  <c r="G16" i="1"/>
  <c r="F17" i="1"/>
  <c r="G17" i="1"/>
  <c r="F18" i="1"/>
  <c r="G18" i="1"/>
  <c r="F19" i="1"/>
  <c r="G19" i="1"/>
  <c r="F20" i="1"/>
  <c r="G20" i="1"/>
  <c r="F22" i="1"/>
  <c r="G22" i="1"/>
  <c r="F23" i="1"/>
  <c r="G23" i="1"/>
  <c r="F25" i="1"/>
  <c r="G25" i="1"/>
  <c r="F26" i="1"/>
  <c r="G26" i="1"/>
  <c r="F21" i="1"/>
  <c r="G21" i="1"/>
  <c r="F29" i="1"/>
  <c r="G29" i="1"/>
  <c r="F30" i="1"/>
  <c r="G30" i="1"/>
  <c r="F31" i="1"/>
  <c r="G31" i="1"/>
  <c r="F32" i="1"/>
  <c r="G32" i="1"/>
  <c r="F33" i="1"/>
  <c r="G33" i="1"/>
  <c r="F34" i="1"/>
  <c r="G34" i="1"/>
  <c r="F35" i="1"/>
  <c r="G35" i="1"/>
  <c r="F24" i="1"/>
  <c r="G24" i="1"/>
  <c r="F36" i="1"/>
  <c r="G36" i="1"/>
  <c r="F27" i="1"/>
  <c r="G27" i="1"/>
  <c r="F37" i="1"/>
  <c r="G37" i="1"/>
  <c r="F28" i="1"/>
  <c r="G28"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7" i="1"/>
  <c r="G57" i="1"/>
  <c r="F58" i="1"/>
  <c r="G58" i="1"/>
  <c r="F59" i="1"/>
  <c r="G59" i="1"/>
  <c r="F56" i="1"/>
  <c r="G56" i="1"/>
  <c r="F60" i="1"/>
  <c r="G60" i="1"/>
  <c r="F61" i="1"/>
  <c r="G61" i="1"/>
  <c r="F62" i="1"/>
  <c r="G62" i="1"/>
  <c r="F63" i="1"/>
  <c r="G63" i="1"/>
  <c r="F65" i="1"/>
  <c r="G65" i="1"/>
  <c r="F66" i="1"/>
  <c r="G66" i="1"/>
  <c r="F67" i="1"/>
  <c r="G67" i="1"/>
  <c r="F68" i="1"/>
  <c r="G68" i="1"/>
  <c r="F64" i="1"/>
  <c r="G64" i="1"/>
  <c r="F69" i="1"/>
  <c r="G69" i="1"/>
  <c r="F70" i="1"/>
  <c r="G70" i="1"/>
  <c r="F71" i="1"/>
  <c r="G71" i="1"/>
  <c r="F72" i="1"/>
  <c r="G72" i="1"/>
  <c r="F73" i="1"/>
  <c r="G73" i="1"/>
  <c r="F74" i="1"/>
  <c r="G74" i="1"/>
  <c r="F75" i="1"/>
  <c r="G75" i="1"/>
  <c r="F76" i="1"/>
  <c r="G76" i="1"/>
  <c r="F77" i="1"/>
  <c r="G77" i="1"/>
  <c r="F78" i="1"/>
  <c r="G78" i="1"/>
  <c r="F79" i="1"/>
  <c r="G79" i="1"/>
  <c r="F81" i="1"/>
  <c r="G81" i="1"/>
  <c r="F80" i="1"/>
  <c r="G80" i="1"/>
  <c r="F82" i="1"/>
  <c r="G82" i="1"/>
  <c r="F83" i="1"/>
  <c r="G83" i="1"/>
  <c r="F84" i="1"/>
  <c r="G84" i="1"/>
  <c r="F85" i="1"/>
  <c r="G85" i="1"/>
  <c r="F86" i="1"/>
  <c r="G86" i="1"/>
  <c r="F87" i="1"/>
  <c r="G87" i="1"/>
  <c r="F88" i="1"/>
  <c r="G88" i="1"/>
  <c r="F89" i="1"/>
  <c r="G89" i="1"/>
  <c r="F90" i="1"/>
  <c r="G90" i="1"/>
  <c r="F91" i="1"/>
  <c r="G91" i="1"/>
  <c r="F92" i="1"/>
  <c r="G92" i="1"/>
  <c r="F93" i="1"/>
  <c r="G93"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1" i="1"/>
  <c r="G161" i="1"/>
  <c r="F162" i="1"/>
  <c r="G162" i="1"/>
  <c r="F163" i="1"/>
  <c r="G163" i="1"/>
  <c r="F164" i="1"/>
  <c r="G164" i="1"/>
  <c r="F165" i="1"/>
  <c r="G165" i="1"/>
  <c r="F166" i="1"/>
  <c r="G166" i="1"/>
  <c r="F167" i="1"/>
  <c r="G167" i="1"/>
  <c r="F168" i="1"/>
  <c r="G168" i="1"/>
  <c r="F160" i="1"/>
  <c r="G160" i="1"/>
  <c r="F169" i="1"/>
  <c r="G169" i="1"/>
  <c r="F170" i="1"/>
  <c r="G170" i="1"/>
  <c r="F172" i="1"/>
  <c r="G172" i="1"/>
  <c r="F174" i="1"/>
  <c r="G174" i="1"/>
  <c r="F173" i="1"/>
  <c r="G173" i="1"/>
  <c r="F175" i="1"/>
  <c r="G175" i="1"/>
  <c r="F176" i="1"/>
  <c r="G176" i="1"/>
  <c r="F177" i="1"/>
  <c r="G177" i="1"/>
  <c r="F178" i="1"/>
  <c r="G178" i="1"/>
  <c r="F179" i="1"/>
  <c r="G179" i="1"/>
  <c r="F180" i="1"/>
  <c r="G180" i="1"/>
  <c r="F181" i="1"/>
  <c r="G181" i="1"/>
  <c r="F182" i="1"/>
  <c r="G182" i="1"/>
  <c r="F183" i="1"/>
  <c r="G183" i="1"/>
  <c r="F185" i="1"/>
  <c r="G185" i="1"/>
  <c r="F187" i="1"/>
  <c r="G187" i="1"/>
  <c r="F188" i="1"/>
  <c r="G188" i="1"/>
  <c r="F189" i="1"/>
  <c r="G189" i="1"/>
  <c r="F190" i="1"/>
  <c r="G190" i="1"/>
  <c r="F191" i="1"/>
  <c r="G191" i="1"/>
  <c r="F184" i="1"/>
  <c r="G184" i="1"/>
  <c r="F192" i="1"/>
  <c r="G192" i="1"/>
  <c r="F193" i="1"/>
  <c r="G193" i="1"/>
  <c r="F194" i="1"/>
  <c r="G194" i="1"/>
  <c r="F186" i="1"/>
  <c r="G186" i="1"/>
  <c r="F195" i="1"/>
  <c r="G195" i="1"/>
  <c r="F196" i="1"/>
  <c r="G196" i="1"/>
  <c r="F197" i="1"/>
  <c r="G197" i="1"/>
  <c r="F198" i="1"/>
  <c r="G198" i="1"/>
  <c r="F199" i="1"/>
  <c r="G199" i="1"/>
  <c r="F200" i="1"/>
  <c r="G200" i="1"/>
  <c r="F201" i="1"/>
  <c r="G201" i="1"/>
  <c r="F202" i="1"/>
  <c r="G202" i="1"/>
  <c r="F203" i="1"/>
  <c r="G203" i="1"/>
  <c r="F204" i="1"/>
  <c r="G204" i="1"/>
  <c r="F205" i="1"/>
  <c r="G205" i="1"/>
  <c r="F206" i="1"/>
  <c r="G206" i="1"/>
  <c r="F207" i="1"/>
  <c r="G207" i="1"/>
  <c r="F208" i="1"/>
  <c r="G208" i="1"/>
  <c r="F209" i="1"/>
  <c r="G209" i="1"/>
  <c r="F210" i="1"/>
  <c r="G210" i="1"/>
  <c r="F211" i="1"/>
  <c r="G211" i="1"/>
  <c r="F212" i="1"/>
  <c r="G212" i="1"/>
  <c r="F213" i="1"/>
  <c r="G213" i="1"/>
  <c r="F214" i="1"/>
  <c r="G214" i="1"/>
  <c r="F215" i="1"/>
  <c r="G215" i="1"/>
  <c r="F216" i="1"/>
  <c r="G216" i="1"/>
  <c r="F217" i="1"/>
  <c r="G217" i="1"/>
  <c r="F218" i="1"/>
  <c r="G218" i="1"/>
  <c r="F219" i="1"/>
  <c r="G219" i="1"/>
  <c r="F220" i="1"/>
  <c r="G220" i="1"/>
  <c r="F221" i="1"/>
  <c r="G221" i="1"/>
  <c r="F222" i="1"/>
  <c r="G222" i="1"/>
  <c r="F223" i="1"/>
  <c r="G223" i="1"/>
  <c r="F224" i="1"/>
  <c r="G224" i="1"/>
  <c r="F226" i="1"/>
  <c r="G226" i="1"/>
  <c r="F225" i="1"/>
  <c r="G225" i="1"/>
  <c r="F227" i="1"/>
  <c r="G227" i="1"/>
  <c r="F228" i="1"/>
  <c r="G228" i="1"/>
  <c r="F229" i="1"/>
  <c r="G229" i="1"/>
  <c r="F230" i="1"/>
  <c r="G230" i="1"/>
  <c r="F231" i="1"/>
  <c r="G231" i="1"/>
  <c r="F232" i="1"/>
  <c r="G232" i="1"/>
  <c r="F233" i="1"/>
  <c r="G233" i="1"/>
  <c r="F234" i="1"/>
  <c r="G234" i="1"/>
  <c r="F235" i="1"/>
  <c r="G235" i="1"/>
  <c r="F236" i="1"/>
  <c r="G236" i="1"/>
  <c r="F237" i="1"/>
  <c r="G237" i="1"/>
  <c r="F238" i="1"/>
  <c r="G238" i="1"/>
  <c r="F239" i="1"/>
  <c r="G239" i="1"/>
  <c r="F240" i="1"/>
  <c r="G240" i="1"/>
  <c r="F241" i="1"/>
  <c r="G241" i="1"/>
  <c r="F242" i="1"/>
  <c r="G242" i="1"/>
  <c r="F243" i="1"/>
  <c r="G243" i="1"/>
  <c r="F244" i="1"/>
  <c r="G244" i="1"/>
  <c r="F245" i="1"/>
  <c r="G245" i="1"/>
  <c r="F246" i="1"/>
  <c r="G246" i="1"/>
  <c r="F247" i="1"/>
  <c r="G247" i="1"/>
  <c r="F248" i="1"/>
  <c r="G248" i="1"/>
  <c r="F249" i="1"/>
  <c r="G249" i="1"/>
  <c r="F250" i="1"/>
  <c r="G250" i="1"/>
  <c r="F251" i="1"/>
  <c r="G251" i="1"/>
  <c r="F252" i="1"/>
  <c r="G252" i="1"/>
  <c r="F253" i="1"/>
  <c r="G253" i="1"/>
  <c r="F254" i="1"/>
  <c r="G254" i="1"/>
  <c r="F255" i="1"/>
  <c r="G255" i="1"/>
  <c r="F256" i="1"/>
  <c r="G256" i="1"/>
  <c r="F257" i="1"/>
  <c r="G257" i="1"/>
  <c r="F258" i="1"/>
  <c r="G258" i="1"/>
  <c r="F259" i="1"/>
  <c r="G259" i="1"/>
  <c r="F260" i="1"/>
  <c r="G260" i="1"/>
  <c r="F261" i="1"/>
  <c r="G261" i="1"/>
  <c r="F262" i="1"/>
  <c r="G262" i="1"/>
  <c r="F263" i="1"/>
  <c r="G263" i="1"/>
  <c r="F264" i="1"/>
  <c r="G264" i="1"/>
  <c r="F265" i="1"/>
  <c r="G265" i="1"/>
  <c r="F266" i="1"/>
  <c r="G266" i="1"/>
  <c r="F267" i="1"/>
  <c r="G267" i="1"/>
  <c r="F268" i="1"/>
  <c r="G268" i="1"/>
  <c r="F269" i="1"/>
  <c r="G269" i="1"/>
  <c r="F270" i="1"/>
  <c r="G270" i="1"/>
  <c r="F271" i="1"/>
  <c r="G271" i="1"/>
  <c r="F272" i="1"/>
  <c r="G272" i="1"/>
  <c r="F273" i="1"/>
  <c r="G273" i="1"/>
  <c r="F274" i="1"/>
  <c r="G274" i="1"/>
  <c r="F275" i="1"/>
  <c r="G275" i="1"/>
  <c r="F276" i="1"/>
  <c r="G276" i="1"/>
  <c r="F277" i="1"/>
  <c r="G277" i="1"/>
  <c r="F278" i="1"/>
  <c r="G278" i="1"/>
  <c r="F279" i="1"/>
  <c r="G279" i="1"/>
  <c r="F280" i="1"/>
  <c r="G280" i="1"/>
  <c r="F281" i="1"/>
  <c r="G281" i="1"/>
  <c r="F282" i="1"/>
  <c r="G282" i="1"/>
  <c r="F283" i="1"/>
  <c r="G283" i="1"/>
  <c r="F284" i="1"/>
  <c r="G284" i="1"/>
  <c r="F285" i="1"/>
  <c r="G285" i="1"/>
  <c r="F286" i="1"/>
  <c r="G286" i="1"/>
  <c r="F287" i="1"/>
  <c r="G287" i="1"/>
  <c r="F288" i="1"/>
  <c r="G288" i="1"/>
  <c r="F289" i="1"/>
  <c r="G289" i="1"/>
  <c r="F290" i="1"/>
  <c r="G290" i="1"/>
  <c r="F291" i="1"/>
  <c r="G291" i="1"/>
  <c r="F292" i="1"/>
  <c r="G292" i="1"/>
  <c r="F293" i="1"/>
  <c r="G293" i="1"/>
  <c r="F294" i="1"/>
  <c r="G294" i="1"/>
  <c r="F295" i="1"/>
  <c r="G295" i="1"/>
  <c r="F296" i="1"/>
  <c r="G296" i="1"/>
  <c r="F297" i="1"/>
  <c r="G297" i="1"/>
  <c r="F298" i="1"/>
  <c r="G298" i="1"/>
  <c r="F299" i="1"/>
  <c r="G299" i="1"/>
  <c r="F300" i="1"/>
  <c r="G300" i="1"/>
  <c r="F301" i="1"/>
  <c r="G301" i="1"/>
  <c r="F302" i="1"/>
  <c r="G302" i="1"/>
  <c r="F303" i="1"/>
  <c r="G303" i="1"/>
  <c r="F304" i="1"/>
  <c r="G304" i="1"/>
  <c r="F305" i="1"/>
  <c r="G305" i="1"/>
  <c r="F306" i="1"/>
  <c r="G306" i="1"/>
  <c r="F307" i="1"/>
  <c r="G307" i="1"/>
  <c r="F308" i="1"/>
  <c r="G308" i="1"/>
  <c r="F310" i="1"/>
  <c r="G310" i="1"/>
  <c r="F312" i="1"/>
  <c r="G312" i="1"/>
  <c r="F313" i="1"/>
  <c r="G313" i="1"/>
  <c r="F309" i="1"/>
  <c r="G309" i="1"/>
  <c r="F311" i="1"/>
  <c r="G311" i="1"/>
  <c r="F314" i="1"/>
  <c r="G314" i="1"/>
  <c r="F315" i="1"/>
  <c r="G315" i="1"/>
  <c r="F316" i="1"/>
  <c r="G316" i="1"/>
  <c r="F317" i="1"/>
  <c r="G317" i="1"/>
  <c r="F318" i="1"/>
  <c r="G318" i="1"/>
  <c r="F319" i="1"/>
  <c r="G319" i="1"/>
  <c r="F320" i="1"/>
  <c r="G320" i="1"/>
  <c r="F321" i="1"/>
  <c r="G321" i="1"/>
  <c r="F322" i="1"/>
  <c r="G322" i="1"/>
  <c r="F323" i="1"/>
  <c r="G323" i="1"/>
  <c r="F324" i="1"/>
  <c r="G324" i="1"/>
  <c r="F325" i="1"/>
  <c r="G325" i="1"/>
  <c r="F326" i="1"/>
  <c r="G326" i="1"/>
  <c r="F327" i="1"/>
  <c r="G327" i="1"/>
  <c r="F328" i="1"/>
  <c r="G328" i="1"/>
  <c r="F329" i="1"/>
  <c r="G329" i="1"/>
  <c r="F330" i="1"/>
  <c r="G330" i="1"/>
  <c r="F331" i="1"/>
  <c r="G331" i="1"/>
  <c r="F332" i="1"/>
  <c r="G332" i="1"/>
  <c r="F333" i="1"/>
  <c r="G333" i="1"/>
  <c r="F334" i="1"/>
  <c r="G334" i="1"/>
  <c r="F336" i="1"/>
  <c r="G336" i="1"/>
  <c r="F338" i="1"/>
  <c r="G338" i="1"/>
  <c r="F339" i="1"/>
  <c r="G339" i="1"/>
  <c r="F340" i="1"/>
  <c r="G340" i="1"/>
  <c r="F341" i="1"/>
  <c r="G341" i="1"/>
  <c r="F335" i="1"/>
  <c r="G335" i="1"/>
  <c r="F342" i="1"/>
  <c r="G342" i="1"/>
  <c r="F343" i="1"/>
  <c r="G343" i="1"/>
  <c r="F344" i="1"/>
  <c r="G344" i="1"/>
  <c r="F337" i="1"/>
  <c r="G337" i="1"/>
  <c r="F345" i="1"/>
  <c r="G345" i="1"/>
  <c r="F346" i="1"/>
  <c r="G346" i="1"/>
  <c r="F347" i="1"/>
  <c r="G347" i="1"/>
  <c r="F348" i="1"/>
  <c r="G348" i="1"/>
  <c r="F349" i="1"/>
  <c r="G349" i="1"/>
  <c r="F350" i="1"/>
  <c r="G350" i="1"/>
  <c r="F351" i="1"/>
  <c r="G351" i="1"/>
  <c r="F352" i="1"/>
  <c r="G352" i="1"/>
  <c r="F353" i="1"/>
  <c r="G353" i="1"/>
  <c r="F354" i="1"/>
  <c r="G354" i="1"/>
  <c r="F355" i="1"/>
  <c r="G355" i="1"/>
  <c r="F357" i="1"/>
  <c r="G357" i="1"/>
  <c r="F358" i="1"/>
  <c r="G358" i="1"/>
  <c r="F359" i="1"/>
  <c r="G359" i="1"/>
  <c r="F356" i="1"/>
  <c r="G356" i="1"/>
  <c r="F360" i="1"/>
  <c r="G360" i="1"/>
  <c r="F361" i="1"/>
  <c r="G361" i="1"/>
  <c r="F362" i="1"/>
  <c r="G362" i="1"/>
  <c r="F363" i="1"/>
  <c r="G363" i="1"/>
  <c r="F365" i="1"/>
  <c r="G365" i="1"/>
  <c r="F366" i="1"/>
  <c r="G366" i="1"/>
  <c r="F368" i="1"/>
  <c r="G368" i="1"/>
  <c r="F369" i="1"/>
  <c r="G369" i="1"/>
  <c r="F371" i="1"/>
  <c r="G371" i="1"/>
  <c r="F372" i="1"/>
  <c r="G372" i="1"/>
  <c r="F364" i="1"/>
  <c r="G364" i="1"/>
  <c r="F373" i="1"/>
  <c r="G373" i="1"/>
  <c r="F374" i="1"/>
  <c r="G374" i="1"/>
  <c r="F367" i="1"/>
  <c r="G367" i="1"/>
  <c r="F375" i="1"/>
  <c r="G375" i="1"/>
  <c r="F370" i="1"/>
  <c r="G370" i="1"/>
  <c r="F376" i="1"/>
  <c r="G376" i="1"/>
  <c r="F377" i="1"/>
  <c r="G377" i="1"/>
  <c r="F378" i="1"/>
  <c r="G378" i="1"/>
  <c r="F379" i="1"/>
  <c r="G379" i="1"/>
  <c r="F380" i="1"/>
  <c r="G380" i="1"/>
  <c r="F381" i="1"/>
  <c r="G381" i="1"/>
  <c r="F382" i="1"/>
  <c r="G382" i="1"/>
  <c r="F383" i="1"/>
  <c r="G383" i="1"/>
  <c r="F384" i="1"/>
  <c r="G384" i="1"/>
  <c r="F385" i="1"/>
  <c r="G385" i="1"/>
  <c r="F386" i="1"/>
  <c r="G386" i="1"/>
  <c r="F387" i="1"/>
  <c r="G387" i="1"/>
  <c r="F388" i="1"/>
  <c r="G388" i="1"/>
  <c r="F389" i="1"/>
  <c r="G389" i="1"/>
  <c r="F390" i="1"/>
  <c r="G390" i="1"/>
  <c r="F391" i="1"/>
  <c r="G391" i="1"/>
  <c r="F392" i="1"/>
  <c r="G392" i="1"/>
  <c r="F393" i="1"/>
  <c r="G393" i="1"/>
  <c r="F394" i="1"/>
  <c r="G394" i="1"/>
  <c r="F395" i="1"/>
  <c r="G395" i="1"/>
  <c r="F396" i="1"/>
  <c r="G396" i="1"/>
  <c r="F397" i="1"/>
  <c r="G397" i="1"/>
  <c r="F398" i="1"/>
  <c r="G398" i="1"/>
  <c r="F399" i="1"/>
  <c r="G399" i="1"/>
  <c r="F400" i="1"/>
  <c r="G400" i="1"/>
  <c r="F401" i="1"/>
  <c r="G401" i="1"/>
  <c r="F402" i="1"/>
  <c r="G402" i="1"/>
  <c r="F403" i="1"/>
  <c r="G403" i="1"/>
  <c r="F404" i="1"/>
  <c r="G404" i="1"/>
  <c r="F405" i="1"/>
  <c r="G405" i="1"/>
  <c r="F406" i="1"/>
  <c r="G406" i="1"/>
  <c r="F407" i="1"/>
  <c r="G407" i="1"/>
  <c r="F408" i="1"/>
  <c r="G408" i="1"/>
  <c r="F409" i="1"/>
  <c r="G409" i="1"/>
  <c r="F410" i="1"/>
  <c r="G410" i="1"/>
  <c r="F411" i="1"/>
  <c r="G411" i="1"/>
  <c r="F412" i="1"/>
  <c r="G412" i="1"/>
  <c r="F413" i="1"/>
  <c r="G413" i="1"/>
  <c r="F414" i="1"/>
  <c r="G414" i="1"/>
  <c r="F415" i="1"/>
  <c r="G415" i="1"/>
  <c r="F416" i="1"/>
  <c r="G416" i="1"/>
  <c r="F417" i="1"/>
  <c r="G417" i="1"/>
  <c r="F418" i="1"/>
  <c r="G418" i="1"/>
  <c r="F419" i="1"/>
  <c r="G419" i="1"/>
  <c r="F420" i="1"/>
  <c r="G420" i="1"/>
  <c r="F421" i="1"/>
  <c r="G421" i="1"/>
  <c r="F422" i="1"/>
  <c r="G422" i="1"/>
  <c r="F423" i="1"/>
  <c r="G423" i="1"/>
  <c r="F424" i="1"/>
  <c r="G424" i="1"/>
  <c r="F425" i="1"/>
  <c r="G425" i="1"/>
  <c r="F426" i="1"/>
  <c r="G426" i="1"/>
  <c r="F427" i="1"/>
  <c r="G427" i="1"/>
  <c r="F428" i="1"/>
  <c r="G428" i="1"/>
  <c r="F429" i="1"/>
  <c r="G429" i="1"/>
  <c r="F431" i="1"/>
  <c r="G431" i="1"/>
  <c r="F432" i="1"/>
  <c r="G432" i="1"/>
  <c r="F433" i="1"/>
  <c r="G433" i="1"/>
  <c r="F434" i="1"/>
  <c r="G434" i="1"/>
  <c r="F430" i="1"/>
  <c r="G430" i="1"/>
  <c r="F435" i="1"/>
  <c r="G435" i="1"/>
  <c r="F436" i="1"/>
  <c r="G436" i="1"/>
  <c r="F437" i="1"/>
  <c r="G437" i="1"/>
  <c r="F438" i="1"/>
  <c r="G438" i="1"/>
  <c r="F439" i="1"/>
  <c r="G439" i="1"/>
  <c r="F440" i="1"/>
  <c r="G440" i="1"/>
  <c r="F441" i="1"/>
  <c r="G441" i="1"/>
  <c r="F442" i="1"/>
  <c r="G442" i="1"/>
  <c r="F443" i="1"/>
  <c r="G443" i="1"/>
  <c r="F444" i="1"/>
  <c r="G444" i="1"/>
  <c r="F445" i="1"/>
  <c r="G445" i="1"/>
  <c r="F446" i="1"/>
  <c r="G446" i="1"/>
  <c r="F447" i="1"/>
  <c r="G447" i="1"/>
  <c r="F448" i="1"/>
  <c r="G448" i="1"/>
  <c r="F449" i="1"/>
  <c r="G449" i="1"/>
  <c r="F450" i="1"/>
  <c r="G450" i="1"/>
  <c r="F451" i="1"/>
  <c r="G451" i="1"/>
  <c r="F453" i="1"/>
  <c r="G453" i="1"/>
  <c r="F454" i="1"/>
  <c r="G454" i="1"/>
  <c r="F455" i="1"/>
  <c r="G455" i="1"/>
  <c r="F456" i="1"/>
  <c r="G456" i="1"/>
  <c r="F457" i="1"/>
  <c r="G457" i="1"/>
  <c r="F458" i="1"/>
  <c r="G458" i="1"/>
  <c r="F459" i="1"/>
  <c r="G459" i="1"/>
  <c r="F460" i="1"/>
  <c r="G460" i="1"/>
  <c r="F461" i="1"/>
  <c r="G461" i="1"/>
  <c r="F462" i="1"/>
  <c r="G462" i="1"/>
  <c r="F463" i="1"/>
  <c r="G463" i="1"/>
  <c r="F464" i="1"/>
  <c r="G464" i="1"/>
  <c r="F465" i="1"/>
  <c r="G465" i="1"/>
  <c r="F466" i="1"/>
  <c r="G466" i="1"/>
  <c r="F467" i="1"/>
  <c r="G467" i="1"/>
  <c r="F470" i="1"/>
  <c r="G470" i="1"/>
  <c r="F471" i="1"/>
  <c r="G471" i="1"/>
  <c r="F472" i="1"/>
  <c r="G472" i="1"/>
  <c r="F473" i="1"/>
  <c r="G473" i="1"/>
  <c r="F474" i="1"/>
  <c r="G474" i="1"/>
  <c r="F475" i="1"/>
  <c r="G475" i="1"/>
  <c r="F476" i="1"/>
  <c r="G476" i="1"/>
  <c r="F477" i="1"/>
  <c r="G477" i="1"/>
  <c r="F478" i="1"/>
  <c r="G478" i="1"/>
  <c r="F479" i="1"/>
  <c r="G479" i="1"/>
  <c r="F452" i="1"/>
  <c r="G452" i="1"/>
  <c r="F480" i="1"/>
  <c r="G480" i="1"/>
  <c r="F481" i="1"/>
  <c r="G481" i="1"/>
  <c r="F482" i="1"/>
  <c r="G482" i="1"/>
  <c r="F484" i="1"/>
  <c r="G484" i="1"/>
  <c r="F485" i="1"/>
  <c r="G485" i="1"/>
  <c r="F486" i="1"/>
  <c r="G486" i="1"/>
  <c r="F487" i="1"/>
  <c r="G487" i="1"/>
  <c r="F488" i="1"/>
  <c r="G488" i="1"/>
  <c r="F489" i="1"/>
  <c r="G489" i="1"/>
  <c r="F468" i="1"/>
  <c r="G468" i="1"/>
  <c r="F469" i="1"/>
  <c r="G469" i="1"/>
  <c r="F490" i="1"/>
  <c r="G490" i="1"/>
  <c r="F491" i="1"/>
  <c r="G491" i="1"/>
  <c r="F492" i="1"/>
  <c r="G492" i="1"/>
  <c r="F493" i="1"/>
  <c r="G493" i="1"/>
  <c r="F494" i="1"/>
  <c r="G494" i="1"/>
  <c r="F495" i="1"/>
  <c r="G495" i="1"/>
  <c r="F496" i="1"/>
  <c r="G496" i="1"/>
  <c r="F497" i="1"/>
  <c r="G497" i="1"/>
  <c r="F498" i="1"/>
  <c r="G498" i="1"/>
  <c r="F499" i="1"/>
  <c r="G499" i="1"/>
  <c r="F483" i="1"/>
  <c r="G483" i="1"/>
  <c r="F500" i="1"/>
  <c r="G500" i="1"/>
  <c r="F501" i="1"/>
  <c r="G501" i="1"/>
  <c r="F502" i="1"/>
  <c r="G502" i="1"/>
  <c r="F503" i="1"/>
  <c r="G503" i="1"/>
  <c r="F504" i="1"/>
  <c r="G504" i="1"/>
  <c r="F505" i="1"/>
  <c r="G505" i="1"/>
  <c r="F506" i="1"/>
  <c r="G506" i="1"/>
  <c r="F507" i="1"/>
  <c r="G507" i="1"/>
  <c r="F508" i="1"/>
  <c r="G508" i="1"/>
  <c r="F509" i="1"/>
  <c r="G509" i="1"/>
  <c r="F510" i="1"/>
  <c r="G510" i="1"/>
  <c r="F511" i="1"/>
  <c r="G511" i="1"/>
  <c r="F512" i="1"/>
  <c r="G512" i="1"/>
  <c r="F513" i="1"/>
  <c r="G513" i="1"/>
  <c r="F514" i="1"/>
  <c r="G514" i="1"/>
  <c r="F515" i="1"/>
  <c r="G515" i="1"/>
  <c r="F516" i="1"/>
  <c r="G516" i="1"/>
  <c r="F517" i="1"/>
  <c r="G517" i="1"/>
  <c r="F518" i="1"/>
  <c r="G518" i="1"/>
  <c r="F519" i="1"/>
  <c r="G519" i="1"/>
  <c r="F520" i="1"/>
  <c r="G520" i="1"/>
  <c r="F521" i="1"/>
  <c r="G521" i="1"/>
  <c r="F522" i="1"/>
  <c r="G522" i="1"/>
  <c r="F523" i="1"/>
  <c r="G523" i="1"/>
  <c r="F524" i="1"/>
  <c r="G524" i="1"/>
  <c r="F525" i="1"/>
  <c r="G525" i="1"/>
  <c r="F526" i="1"/>
  <c r="G526" i="1"/>
  <c r="F527" i="1"/>
  <c r="G527" i="1"/>
  <c r="F528" i="1"/>
  <c r="G528" i="1"/>
  <c r="F529" i="1"/>
  <c r="G529" i="1"/>
  <c r="F530" i="1"/>
  <c r="G530" i="1"/>
  <c r="F531" i="1"/>
  <c r="G531" i="1"/>
  <c r="F532" i="1"/>
  <c r="G532" i="1"/>
  <c r="F533" i="1"/>
  <c r="G533" i="1"/>
  <c r="F535" i="1"/>
  <c r="G535" i="1"/>
  <c r="F536" i="1"/>
  <c r="G536" i="1"/>
  <c r="F537" i="1"/>
  <c r="G537" i="1"/>
  <c r="F538" i="1"/>
  <c r="G538" i="1"/>
  <c r="F540" i="1"/>
  <c r="G540" i="1"/>
  <c r="F541" i="1"/>
  <c r="G541" i="1"/>
  <c r="F542" i="1"/>
  <c r="G542" i="1"/>
  <c r="F534" i="1"/>
  <c r="G534" i="1"/>
  <c r="F543" i="1"/>
  <c r="G543" i="1"/>
  <c r="F544" i="1"/>
  <c r="G544" i="1"/>
  <c r="F545" i="1"/>
  <c r="G545" i="1"/>
  <c r="F546" i="1"/>
  <c r="G546" i="1"/>
  <c r="F539" i="1"/>
  <c r="G539" i="1"/>
  <c r="F547" i="1"/>
  <c r="G547" i="1"/>
  <c r="F548" i="1"/>
  <c r="F549" i="1"/>
  <c r="G549" i="1"/>
  <c r="F550" i="1"/>
  <c r="G550" i="1"/>
  <c r="F551" i="1"/>
  <c r="F552" i="1"/>
  <c r="F553" i="1"/>
  <c r="G553" i="1"/>
  <c r="F554" i="1"/>
  <c r="G554" i="1"/>
  <c r="F555" i="1"/>
  <c r="G555" i="1"/>
  <c r="F556" i="1"/>
  <c r="G556" i="1"/>
  <c r="F557" i="1"/>
  <c r="G557" i="1"/>
  <c r="F558" i="1"/>
  <c r="G558" i="1"/>
  <c r="F560" i="1"/>
  <c r="G560" i="1"/>
  <c r="F561" i="1"/>
  <c r="G561" i="1"/>
  <c r="F562" i="1"/>
  <c r="F563" i="1"/>
  <c r="G563" i="1"/>
  <c r="F564" i="1"/>
  <c r="G564" i="1"/>
  <c r="F565" i="1"/>
  <c r="F566" i="1"/>
  <c r="G566" i="1"/>
  <c r="F567" i="1"/>
  <c r="G567" i="1"/>
  <c r="F559" i="1"/>
  <c r="G559" i="1"/>
  <c r="F94" i="1"/>
  <c r="G94" i="1"/>
  <c r="F95" i="1"/>
  <c r="G95" i="1"/>
  <c r="F96" i="1"/>
  <c r="G96" i="1"/>
  <c r="F99" i="1"/>
  <c r="G99" i="1"/>
  <c r="F100" i="1"/>
  <c r="G100" i="1"/>
  <c r="F101" i="1"/>
  <c r="G101" i="1"/>
  <c r="F102" i="1"/>
  <c r="G102" i="1"/>
  <c r="F103" i="1"/>
  <c r="G103" i="1"/>
  <c r="F104" i="1"/>
  <c r="G104" i="1"/>
  <c r="F97" i="1"/>
  <c r="G97" i="1"/>
  <c r="F105" i="1"/>
  <c r="G105" i="1"/>
  <c r="F98" i="1"/>
  <c r="G98"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P565" i="1" l="1"/>
  <c r="G565" i="1" s="1"/>
  <c r="P562" i="1"/>
  <c r="G562" i="1" s="1"/>
  <c r="P552" i="1"/>
  <c r="G552" i="1" s="1"/>
  <c r="P551" i="1"/>
  <c r="G551" i="1" s="1"/>
  <c r="AD548" i="1"/>
  <c r="U548" i="1" s="1"/>
  <c r="P548" i="1"/>
  <c r="G548" i="1" s="1"/>
  <c r="AD547" i="1"/>
  <c r="U547" i="1" s="1"/>
  <c r="U1" i="1" l="1"/>
  <c r="T1" i="1"/>
  <c r="G1" i="1"/>
  <c r="F1" i="1"/>
  <c r="H398" i="8" l="1"/>
  <c r="G398" i="8"/>
  <c r="F398" i="8"/>
  <c r="E398" i="8"/>
  <c r="C398" i="8"/>
  <c r="B398" i="8"/>
  <c r="H397" i="8"/>
  <c r="G397" i="8"/>
  <c r="F397" i="8"/>
  <c r="E397" i="8"/>
  <c r="C397" i="8"/>
  <c r="B397" i="8"/>
  <c r="H396" i="8"/>
  <c r="G396" i="8"/>
  <c r="F396" i="8"/>
  <c r="E396" i="8"/>
  <c r="C396" i="8"/>
  <c r="B396" i="8"/>
  <c r="H395" i="8"/>
  <c r="G395" i="8"/>
  <c r="F395" i="8"/>
  <c r="E395" i="8"/>
  <c r="C395" i="8"/>
  <c r="B395" i="8"/>
  <c r="H393" i="8"/>
  <c r="G393" i="8"/>
  <c r="F393" i="8"/>
  <c r="E393" i="8"/>
  <c r="C393" i="8"/>
  <c r="B393" i="8"/>
  <c r="H392" i="8"/>
  <c r="G392" i="8"/>
  <c r="F392" i="8"/>
  <c r="E392" i="8"/>
  <c r="C392" i="8"/>
  <c r="B392" i="8"/>
  <c r="H391" i="8"/>
  <c r="G391" i="8"/>
  <c r="F391" i="8"/>
  <c r="E391" i="8"/>
  <c r="C391" i="8"/>
  <c r="B391" i="8"/>
  <c r="H390" i="8"/>
  <c r="G390" i="8"/>
  <c r="F390" i="8"/>
  <c r="E390" i="8"/>
  <c r="C390" i="8"/>
  <c r="B390" i="8"/>
  <c r="H388" i="8"/>
  <c r="G388" i="8"/>
  <c r="F388" i="8"/>
  <c r="E388" i="8"/>
  <c r="C388" i="8"/>
  <c r="B388" i="8"/>
  <c r="H387" i="8"/>
  <c r="G387" i="8"/>
  <c r="F387" i="8"/>
  <c r="E387" i="8"/>
  <c r="C387" i="8"/>
  <c r="B387" i="8"/>
  <c r="H386" i="8"/>
  <c r="G386" i="8"/>
  <c r="F386" i="8"/>
  <c r="E386" i="8"/>
  <c r="C386" i="8"/>
  <c r="B386" i="8"/>
  <c r="H385" i="8"/>
  <c r="G385" i="8"/>
  <c r="F385" i="8"/>
  <c r="E385" i="8"/>
  <c r="C385" i="8"/>
  <c r="B385" i="8"/>
  <c r="H383" i="8"/>
  <c r="G383" i="8"/>
  <c r="F383" i="8"/>
  <c r="E383" i="8"/>
  <c r="C383" i="8"/>
  <c r="B383" i="8"/>
  <c r="H382" i="8"/>
  <c r="G382" i="8"/>
  <c r="F382" i="8"/>
  <c r="E382" i="8"/>
  <c r="C382" i="8"/>
  <c r="B382" i="8"/>
  <c r="H381" i="8"/>
  <c r="G381" i="8"/>
  <c r="F381" i="8"/>
  <c r="E381" i="8"/>
  <c r="C381" i="8"/>
  <c r="B381" i="8"/>
  <c r="H380" i="8"/>
  <c r="G380" i="8"/>
  <c r="F380" i="8"/>
  <c r="E380" i="8"/>
  <c r="C380" i="8"/>
  <c r="B380" i="8"/>
  <c r="H458" i="8"/>
  <c r="G458" i="8"/>
  <c r="F458" i="8"/>
  <c r="E458" i="8"/>
  <c r="C458" i="8"/>
  <c r="B458" i="8"/>
  <c r="H457" i="8"/>
  <c r="G457" i="8"/>
  <c r="F457" i="8"/>
  <c r="E457" i="8"/>
  <c r="C457" i="8"/>
  <c r="B457" i="8"/>
  <c r="H456" i="8"/>
  <c r="G456" i="8"/>
  <c r="F456" i="8"/>
  <c r="E456" i="8"/>
  <c r="C456" i="8"/>
  <c r="B456" i="8"/>
  <c r="H455" i="8"/>
  <c r="G455" i="8"/>
  <c r="F455" i="8"/>
  <c r="E455" i="8"/>
  <c r="C455" i="8"/>
  <c r="B455" i="8"/>
  <c r="H453" i="8"/>
  <c r="G453" i="8"/>
  <c r="F453" i="8"/>
  <c r="E453" i="8"/>
  <c r="C453" i="8"/>
  <c r="B453" i="8"/>
  <c r="H452" i="8"/>
  <c r="G452" i="8"/>
  <c r="F452" i="8"/>
  <c r="E452" i="8"/>
  <c r="C452" i="8"/>
  <c r="B452" i="8"/>
  <c r="H451" i="8"/>
  <c r="G451" i="8"/>
  <c r="F451" i="8"/>
  <c r="E451" i="8"/>
  <c r="C451" i="8"/>
  <c r="B451" i="8"/>
  <c r="H450" i="8"/>
  <c r="G450" i="8"/>
  <c r="F450" i="8"/>
  <c r="E450" i="8"/>
  <c r="C450" i="8"/>
  <c r="B450" i="8"/>
  <c r="H448" i="8"/>
  <c r="G448" i="8"/>
  <c r="F448" i="8"/>
  <c r="E448" i="8"/>
  <c r="C448" i="8"/>
  <c r="B448" i="8"/>
  <c r="H447" i="8"/>
  <c r="G447" i="8"/>
  <c r="F447" i="8"/>
  <c r="E447" i="8"/>
  <c r="C447" i="8"/>
  <c r="B447" i="8"/>
  <c r="H446" i="8"/>
  <c r="G446" i="8"/>
  <c r="F446" i="8"/>
  <c r="E446" i="8"/>
  <c r="C446" i="8"/>
  <c r="B446" i="8"/>
  <c r="H445" i="8"/>
  <c r="G445" i="8"/>
  <c r="F445" i="8"/>
  <c r="E445" i="8"/>
  <c r="C445" i="8"/>
  <c r="B445" i="8"/>
  <c r="H443" i="8"/>
  <c r="G443" i="8"/>
  <c r="F443" i="8"/>
  <c r="E443" i="8"/>
  <c r="C443" i="8"/>
  <c r="B443" i="8"/>
  <c r="H442" i="8"/>
  <c r="G442" i="8"/>
  <c r="F442" i="8"/>
  <c r="E442" i="8"/>
  <c r="C442" i="8"/>
  <c r="B442" i="8"/>
  <c r="H441" i="8"/>
  <c r="G441" i="8"/>
  <c r="F441" i="8"/>
  <c r="E441" i="8"/>
  <c r="C441" i="8"/>
  <c r="B441" i="8"/>
  <c r="H440" i="8"/>
  <c r="G440" i="8"/>
  <c r="F440" i="8"/>
  <c r="E440" i="8"/>
  <c r="C440" i="8"/>
  <c r="B440" i="8"/>
  <c r="H428" i="8"/>
  <c r="G428" i="8"/>
  <c r="F428" i="8"/>
  <c r="E428" i="8"/>
  <c r="C428" i="8"/>
  <c r="B428" i="8"/>
  <c r="H427" i="8"/>
  <c r="G427" i="8"/>
  <c r="F427" i="8"/>
  <c r="E427" i="8"/>
  <c r="C427" i="8"/>
  <c r="B427" i="8"/>
  <c r="H426" i="8"/>
  <c r="G426" i="8"/>
  <c r="F426" i="8"/>
  <c r="E426" i="8"/>
  <c r="C426" i="8"/>
  <c r="B426" i="8"/>
  <c r="H425" i="8"/>
  <c r="G425" i="8"/>
  <c r="F425" i="8"/>
  <c r="E425" i="8"/>
  <c r="C425" i="8"/>
  <c r="B425" i="8"/>
  <c r="H423" i="8"/>
  <c r="G423" i="8"/>
  <c r="F423" i="8"/>
  <c r="E423" i="8"/>
  <c r="C423" i="8"/>
  <c r="B423" i="8"/>
  <c r="H422" i="8"/>
  <c r="G422" i="8"/>
  <c r="F422" i="8"/>
  <c r="E422" i="8"/>
  <c r="C422" i="8"/>
  <c r="B422" i="8"/>
  <c r="H421" i="8"/>
  <c r="G421" i="8"/>
  <c r="F421" i="8"/>
  <c r="E421" i="8"/>
  <c r="C421" i="8"/>
  <c r="B421" i="8"/>
  <c r="H420" i="8"/>
  <c r="G420" i="8"/>
  <c r="F420" i="8"/>
  <c r="E420" i="8"/>
  <c r="C420" i="8"/>
  <c r="B420" i="8"/>
  <c r="H418" i="8"/>
  <c r="G418" i="8"/>
  <c r="F418" i="8"/>
  <c r="E418" i="8"/>
  <c r="C418" i="8"/>
  <c r="B418" i="8"/>
  <c r="H417" i="8"/>
  <c r="G417" i="8"/>
  <c r="F417" i="8"/>
  <c r="E417" i="8"/>
  <c r="C417" i="8"/>
  <c r="B417" i="8"/>
  <c r="H416" i="8"/>
  <c r="G416" i="8"/>
  <c r="F416" i="8"/>
  <c r="E416" i="8"/>
  <c r="C416" i="8"/>
  <c r="B416" i="8"/>
  <c r="H415" i="8"/>
  <c r="G415" i="8"/>
  <c r="F415" i="8"/>
  <c r="E415" i="8"/>
  <c r="C415" i="8"/>
  <c r="B415" i="8"/>
  <c r="H413" i="8"/>
  <c r="G413" i="8"/>
  <c r="F413" i="8"/>
  <c r="E413" i="8"/>
  <c r="C413" i="8"/>
  <c r="B413" i="8"/>
  <c r="H412" i="8"/>
  <c r="G412" i="8"/>
  <c r="F412" i="8"/>
  <c r="E412" i="8"/>
  <c r="C412" i="8"/>
  <c r="B412" i="8"/>
  <c r="H411" i="8"/>
  <c r="G411" i="8"/>
  <c r="F411" i="8"/>
  <c r="E411" i="8"/>
  <c r="C411" i="8"/>
  <c r="B411" i="8"/>
  <c r="H410" i="8"/>
  <c r="G410" i="8"/>
  <c r="F410" i="8"/>
  <c r="E410" i="8"/>
  <c r="C410" i="8"/>
  <c r="B410" i="8"/>
  <c r="H367" i="8"/>
  <c r="G367" i="8"/>
  <c r="F367" i="8"/>
  <c r="E367" i="8"/>
  <c r="C367" i="8"/>
  <c r="B367" i="8"/>
  <c r="H366" i="8"/>
  <c r="G366" i="8"/>
  <c r="F366" i="8"/>
  <c r="E366" i="8"/>
  <c r="C366" i="8"/>
  <c r="B366" i="8"/>
  <c r="H365" i="8"/>
  <c r="G365" i="8"/>
  <c r="F365" i="8"/>
  <c r="E365" i="8"/>
  <c r="C365" i="8"/>
  <c r="B365" i="8"/>
  <c r="H364" i="8"/>
  <c r="G364" i="8"/>
  <c r="F364" i="8"/>
  <c r="E364" i="8"/>
  <c r="C364" i="8"/>
  <c r="B364" i="8"/>
  <c r="H362" i="8"/>
  <c r="G362" i="8"/>
  <c r="F362" i="8"/>
  <c r="E362" i="8"/>
  <c r="C362" i="8"/>
  <c r="B362" i="8"/>
  <c r="H361" i="8"/>
  <c r="G361" i="8"/>
  <c r="F361" i="8"/>
  <c r="E361" i="8"/>
  <c r="C361" i="8"/>
  <c r="B361" i="8"/>
  <c r="H360" i="8"/>
  <c r="G360" i="8"/>
  <c r="F360" i="8"/>
  <c r="E360" i="8"/>
  <c r="C360" i="8"/>
  <c r="B360" i="8"/>
  <c r="H359" i="8"/>
  <c r="G359" i="8"/>
  <c r="F359" i="8"/>
  <c r="E359" i="8"/>
  <c r="C359" i="8"/>
  <c r="B359" i="8"/>
  <c r="H357" i="8"/>
  <c r="G357" i="8"/>
  <c r="F357" i="8"/>
  <c r="E357" i="8"/>
  <c r="C357" i="8"/>
  <c r="B357" i="8"/>
  <c r="H356" i="8"/>
  <c r="G356" i="8"/>
  <c r="F356" i="8"/>
  <c r="E356" i="8"/>
  <c r="C356" i="8"/>
  <c r="B356" i="8"/>
  <c r="H355" i="8"/>
  <c r="G355" i="8"/>
  <c r="F355" i="8"/>
  <c r="E355" i="8"/>
  <c r="C355" i="8"/>
  <c r="B355" i="8"/>
  <c r="H354" i="8"/>
  <c r="G354" i="8"/>
  <c r="F354" i="8"/>
  <c r="E354" i="8"/>
  <c r="C354" i="8"/>
  <c r="B354" i="8"/>
  <c r="H352" i="8"/>
  <c r="G352" i="8"/>
  <c r="F352" i="8"/>
  <c r="E352" i="8"/>
  <c r="C352" i="8"/>
  <c r="B352" i="8"/>
  <c r="H351" i="8"/>
  <c r="G351" i="8"/>
  <c r="F351" i="8"/>
  <c r="E351" i="8"/>
  <c r="C351" i="8"/>
  <c r="B351" i="8"/>
  <c r="H350" i="8"/>
  <c r="G350" i="8"/>
  <c r="F350" i="8"/>
  <c r="E350" i="8"/>
  <c r="C350" i="8"/>
  <c r="B350" i="8"/>
  <c r="H349" i="8"/>
  <c r="G349" i="8"/>
  <c r="F349" i="8"/>
  <c r="E349" i="8"/>
  <c r="C349" i="8"/>
  <c r="B349" i="8"/>
  <c r="H337" i="8"/>
  <c r="G337" i="8"/>
  <c r="F337" i="8"/>
  <c r="E337" i="8"/>
  <c r="C337" i="8"/>
  <c r="B337" i="8"/>
  <c r="H336" i="8"/>
  <c r="G336" i="8"/>
  <c r="F336" i="8"/>
  <c r="E336" i="8"/>
  <c r="C336" i="8"/>
  <c r="B336" i="8"/>
  <c r="H335" i="8"/>
  <c r="G335" i="8"/>
  <c r="F335" i="8"/>
  <c r="E335" i="8"/>
  <c r="C335" i="8"/>
  <c r="B335" i="8"/>
  <c r="H334" i="8"/>
  <c r="G334" i="8"/>
  <c r="F334" i="8"/>
  <c r="E334" i="8"/>
  <c r="C334" i="8"/>
  <c r="B334" i="8"/>
  <c r="H332" i="8"/>
  <c r="G332" i="8"/>
  <c r="F332" i="8"/>
  <c r="E332" i="8"/>
  <c r="C332" i="8"/>
  <c r="B332" i="8"/>
  <c r="H331" i="8"/>
  <c r="G331" i="8"/>
  <c r="F331" i="8"/>
  <c r="E331" i="8"/>
  <c r="C331" i="8"/>
  <c r="B331" i="8"/>
  <c r="H330" i="8"/>
  <c r="G330" i="8"/>
  <c r="F330" i="8"/>
  <c r="E330" i="8"/>
  <c r="C330" i="8"/>
  <c r="B330" i="8"/>
  <c r="H329" i="8"/>
  <c r="G329" i="8"/>
  <c r="F329" i="8"/>
  <c r="E329" i="8"/>
  <c r="C329" i="8"/>
  <c r="B329" i="8"/>
  <c r="H327" i="8"/>
  <c r="G327" i="8"/>
  <c r="F327" i="8"/>
  <c r="E327" i="8"/>
  <c r="C327" i="8"/>
  <c r="B327" i="8"/>
  <c r="H326" i="8"/>
  <c r="G326" i="8"/>
  <c r="F326" i="8"/>
  <c r="E326" i="8"/>
  <c r="C326" i="8"/>
  <c r="B326" i="8"/>
  <c r="H325" i="8"/>
  <c r="G325" i="8"/>
  <c r="F325" i="8"/>
  <c r="E325" i="8"/>
  <c r="C325" i="8"/>
  <c r="B325" i="8"/>
  <c r="H324" i="8"/>
  <c r="G324" i="8"/>
  <c r="F324" i="8"/>
  <c r="E324" i="8"/>
  <c r="C324" i="8"/>
  <c r="B324" i="8"/>
  <c r="H322" i="8"/>
  <c r="G322" i="8"/>
  <c r="F322" i="8"/>
  <c r="E322" i="8"/>
  <c r="C322" i="8"/>
  <c r="B322" i="8"/>
  <c r="H321" i="8"/>
  <c r="G321" i="8"/>
  <c r="F321" i="8"/>
  <c r="E321" i="8"/>
  <c r="C321" i="8"/>
  <c r="B321" i="8"/>
  <c r="H320" i="8"/>
  <c r="G320" i="8"/>
  <c r="F320" i="8"/>
  <c r="E320" i="8"/>
  <c r="C320" i="8"/>
  <c r="B320" i="8"/>
  <c r="H319" i="8"/>
  <c r="G319" i="8"/>
  <c r="F319" i="8"/>
  <c r="E319" i="8"/>
  <c r="C319" i="8"/>
  <c r="B319" i="8"/>
  <c r="H306" i="8"/>
  <c r="G306" i="8"/>
  <c r="F306" i="8"/>
  <c r="E306" i="8"/>
  <c r="C306" i="8"/>
  <c r="B306" i="8"/>
  <c r="H305" i="8"/>
  <c r="G305" i="8"/>
  <c r="F305" i="8"/>
  <c r="E305" i="8"/>
  <c r="C305" i="8"/>
  <c r="B305" i="8"/>
  <c r="H304" i="8"/>
  <c r="G304" i="8"/>
  <c r="F304" i="8"/>
  <c r="E304" i="8"/>
  <c r="C304" i="8"/>
  <c r="B304" i="8"/>
  <c r="H303" i="8"/>
  <c r="G303" i="8"/>
  <c r="F303" i="8"/>
  <c r="E303" i="8"/>
  <c r="C303" i="8"/>
  <c r="B303" i="8"/>
  <c r="H301" i="8"/>
  <c r="G301" i="8"/>
  <c r="F301" i="8"/>
  <c r="E301" i="8"/>
  <c r="C301" i="8"/>
  <c r="B301" i="8"/>
  <c r="H300" i="8"/>
  <c r="G300" i="8"/>
  <c r="F300" i="8"/>
  <c r="E300" i="8"/>
  <c r="C300" i="8"/>
  <c r="B300" i="8"/>
  <c r="H299" i="8"/>
  <c r="G299" i="8"/>
  <c r="F299" i="8"/>
  <c r="E299" i="8"/>
  <c r="C299" i="8"/>
  <c r="B299" i="8"/>
  <c r="H298" i="8"/>
  <c r="G298" i="8"/>
  <c r="F298" i="8"/>
  <c r="E298" i="8"/>
  <c r="C298" i="8"/>
  <c r="B298" i="8"/>
  <c r="H296" i="8"/>
  <c r="G296" i="8"/>
  <c r="F296" i="8"/>
  <c r="E296" i="8"/>
  <c r="C296" i="8"/>
  <c r="B296" i="8"/>
  <c r="H295" i="8"/>
  <c r="G295" i="8"/>
  <c r="F295" i="8"/>
  <c r="E295" i="8"/>
  <c r="C295" i="8"/>
  <c r="B295" i="8"/>
  <c r="H294" i="8"/>
  <c r="G294" i="8"/>
  <c r="F294" i="8"/>
  <c r="E294" i="8"/>
  <c r="C294" i="8"/>
  <c r="B294" i="8"/>
  <c r="H293" i="8"/>
  <c r="G293" i="8"/>
  <c r="F293" i="8"/>
  <c r="E293" i="8"/>
  <c r="C293" i="8"/>
  <c r="B293" i="8"/>
  <c r="H291" i="8"/>
  <c r="G291" i="8"/>
  <c r="F291" i="8"/>
  <c r="E291" i="8"/>
  <c r="C291" i="8"/>
  <c r="B291" i="8"/>
  <c r="H290" i="8"/>
  <c r="G290" i="8"/>
  <c r="F290" i="8"/>
  <c r="E290" i="8"/>
  <c r="C290" i="8"/>
  <c r="B290" i="8"/>
  <c r="H289" i="8"/>
  <c r="G289" i="8"/>
  <c r="F289" i="8"/>
  <c r="E289" i="8"/>
  <c r="C289" i="8"/>
  <c r="B289" i="8"/>
  <c r="H288" i="8"/>
  <c r="G288" i="8"/>
  <c r="F288" i="8"/>
  <c r="E288" i="8"/>
  <c r="C288" i="8"/>
  <c r="B288" i="8"/>
  <c r="H275" i="8"/>
  <c r="G275" i="8"/>
  <c r="F275" i="8"/>
  <c r="E275" i="8"/>
  <c r="C275" i="8"/>
  <c r="B275" i="8"/>
  <c r="H274" i="8"/>
  <c r="G274" i="8"/>
  <c r="F274" i="8"/>
  <c r="E274" i="8"/>
  <c r="C274" i="8"/>
  <c r="B274" i="8"/>
  <c r="H273" i="8"/>
  <c r="G273" i="8"/>
  <c r="F273" i="8"/>
  <c r="E273" i="8"/>
  <c r="C273" i="8"/>
  <c r="B273" i="8"/>
  <c r="H272" i="8"/>
  <c r="G272" i="8"/>
  <c r="F272" i="8"/>
  <c r="E272" i="8"/>
  <c r="C272" i="8"/>
  <c r="B272" i="8"/>
  <c r="H270" i="8"/>
  <c r="G270" i="8"/>
  <c r="F270" i="8"/>
  <c r="E270" i="8"/>
  <c r="C270" i="8"/>
  <c r="B270" i="8"/>
  <c r="H269" i="8"/>
  <c r="G269" i="8"/>
  <c r="F269" i="8"/>
  <c r="E269" i="8"/>
  <c r="C269" i="8"/>
  <c r="B269" i="8"/>
  <c r="H268" i="8"/>
  <c r="G268" i="8"/>
  <c r="F268" i="8"/>
  <c r="E268" i="8"/>
  <c r="C268" i="8"/>
  <c r="B268" i="8"/>
  <c r="H267" i="8"/>
  <c r="G267" i="8"/>
  <c r="F267" i="8"/>
  <c r="E267" i="8"/>
  <c r="C267" i="8"/>
  <c r="B267" i="8"/>
  <c r="H265" i="8"/>
  <c r="G265" i="8"/>
  <c r="F265" i="8"/>
  <c r="E265" i="8"/>
  <c r="C265" i="8"/>
  <c r="B265" i="8"/>
  <c r="H264" i="8"/>
  <c r="G264" i="8"/>
  <c r="F264" i="8"/>
  <c r="E264" i="8"/>
  <c r="C264" i="8"/>
  <c r="B264" i="8"/>
  <c r="H263" i="8"/>
  <c r="G263" i="8"/>
  <c r="F263" i="8"/>
  <c r="E263" i="8"/>
  <c r="C263" i="8"/>
  <c r="B263" i="8"/>
  <c r="H262" i="8"/>
  <c r="G262" i="8"/>
  <c r="F262" i="8"/>
  <c r="E262" i="8"/>
  <c r="C262" i="8"/>
  <c r="B262" i="8"/>
  <c r="H260" i="8"/>
  <c r="G260" i="8"/>
  <c r="F260" i="8"/>
  <c r="E260" i="8"/>
  <c r="C260" i="8"/>
  <c r="B260" i="8"/>
  <c r="H259" i="8"/>
  <c r="G259" i="8"/>
  <c r="F259" i="8"/>
  <c r="E259" i="8"/>
  <c r="C259" i="8"/>
  <c r="B259" i="8"/>
  <c r="H258" i="8"/>
  <c r="G258" i="8"/>
  <c r="F258" i="8"/>
  <c r="E258" i="8"/>
  <c r="C258" i="8"/>
  <c r="B258" i="8"/>
  <c r="H257" i="8"/>
  <c r="G257" i="8"/>
  <c r="F257" i="8"/>
  <c r="E257" i="8"/>
  <c r="C257" i="8"/>
  <c r="B257" i="8"/>
  <c r="H244" i="8"/>
  <c r="G244" i="8"/>
  <c r="F244" i="8"/>
  <c r="E244" i="8"/>
  <c r="C244" i="8"/>
  <c r="B244" i="8"/>
  <c r="H243" i="8"/>
  <c r="G243" i="8"/>
  <c r="F243" i="8"/>
  <c r="E243" i="8"/>
  <c r="C243" i="8"/>
  <c r="B243" i="8"/>
  <c r="H242" i="8"/>
  <c r="G242" i="8"/>
  <c r="F242" i="8"/>
  <c r="E242" i="8"/>
  <c r="C242" i="8"/>
  <c r="B242" i="8"/>
  <c r="H241" i="8"/>
  <c r="G241" i="8"/>
  <c r="F241" i="8"/>
  <c r="E241" i="8"/>
  <c r="C241" i="8"/>
  <c r="B241" i="8"/>
  <c r="H239" i="8"/>
  <c r="G239" i="8"/>
  <c r="F239" i="8"/>
  <c r="E239" i="8"/>
  <c r="C239" i="8"/>
  <c r="B239" i="8"/>
  <c r="H238" i="8"/>
  <c r="G238" i="8"/>
  <c r="F238" i="8"/>
  <c r="E238" i="8"/>
  <c r="C238" i="8"/>
  <c r="B238" i="8"/>
  <c r="H237" i="8"/>
  <c r="G237" i="8"/>
  <c r="F237" i="8"/>
  <c r="E237" i="8"/>
  <c r="C237" i="8"/>
  <c r="B237" i="8"/>
  <c r="H236" i="8"/>
  <c r="G236" i="8"/>
  <c r="F236" i="8"/>
  <c r="E236" i="8"/>
  <c r="C236" i="8"/>
  <c r="B236" i="8"/>
  <c r="H234" i="8"/>
  <c r="G234" i="8"/>
  <c r="F234" i="8"/>
  <c r="E234" i="8"/>
  <c r="C234" i="8"/>
  <c r="B234" i="8"/>
  <c r="H233" i="8"/>
  <c r="G233" i="8"/>
  <c r="F233" i="8"/>
  <c r="E233" i="8"/>
  <c r="C233" i="8"/>
  <c r="B233" i="8"/>
  <c r="H232" i="8"/>
  <c r="G232" i="8"/>
  <c r="F232" i="8"/>
  <c r="E232" i="8"/>
  <c r="C232" i="8"/>
  <c r="B232" i="8"/>
  <c r="H231" i="8"/>
  <c r="G231" i="8"/>
  <c r="F231" i="8"/>
  <c r="E231" i="8"/>
  <c r="C231" i="8"/>
  <c r="B231" i="8"/>
  <c r="H229" i="8"/>
  <c r="G229" i="8"/>
  <c r="F229" i="8"/>
  <c r="E229" i="8"/>
  <c r="C229" i="8"/>
  <c r="B229" i="8"/>
  <c r="H228" i="8"/>
  <c r="G228" i="8"/>
  <c r="F228" i="8"/>
  <c r="E228" i="8"/>
  <c r="C228" i="8"/>
  <c r="B228" i="8"/>
  <c r="H227" i="8"/>
  <c r="G227" i="8"/>
  <c r="F227" i="8"/>
  <c r="E227" i="8"/>
  <c r="C227" i="8"/>
  <c r="B227" i="8"/>
  <c r="H226" i="8"/>
  <c r="G226" i="8"/>
  <c r="F226" i="8"/>
  <c r="E226" i="8"/>
  <c r="C226" i="8"/>
  <c r="B226" i="8"/>
  <c r="P213" i="8"/>
  <c r="O213" i="8"/>
  <c r="N213" i="8"/>
  <c r="M213" i="8"/>
  <c r="K213" i="8"/>
  <c r="J213" i="8"/>
  <c r="H213" i="8"/>
  <c r="G213" i="8"/>
  <c r="F213" i="8"/>
  <c r="E213" i="8"/>
  <c r="C213" i="8"/>
  <c r="B213" i="8"/>
  <c r="P212" i="8"/>
  <c r="O212" i="8"/>
  <c r="N212" i="8"/>
  <c r="M212" i="8"/>
  <c r="K212" i="8"/>
  <c r="J212" i="8"/>
  <c r="H212" i="8"/>
  <c r="G212" i="8"/>
  <c r="F212" i="8"/>
  <c r="E212" i="8"/>
  <c r="C212" i="8"/>
  <c r="B212" i="8"/>
  <c r="P211" i="8"/>
  <c r="O211" i="8"/>
  <c r="N211" i="8"/>
  <c r="M211" i="8"/>
  <c r="K211" i="8"/>
  <c r="J211" i="8"/>
  <c r="H211" i="8"/>
  <c r="G211" i="8"/>
  <c r="F211" i="8"/>
  <c r="E211" i="8"/>
  <c r="C211" i="8"/>
  <c r="B211" i="8"/>
  <c r="P210" i="8"/>
  <c r="O210" i="8"/>
  <c r="N210" i="8"/>
  <c r="M210" i="8"/>
  <c r="K210" i="8"/>
  <c r="J210" i="8"/>
  <c r="H210" i="8"/>
  <c r="G210" i="8"/>
  <c r="F210" i="8"/>
  <c r="E210" i="8"/>
  <c r="C210" i="8"/>
  <c r="B210" i="8"/>
  <c r="P208" i="8"/>
  <c r="O208" i="8"/>
  <c r="N208" i="8"/>
  <c r="M208" i="8"/>
  <c r="K208" i="8"/>
  <c r="J208" i="8"/>
  <c r="H208" i="8"/>
  <c r="G208" i="8"/>
  <c r="F208" i="8"/>
  <c r="E208" i="8"/>
  <c r="C208" i="8"/>
  <c r="B208" i="8"/>
  <c r="P207" i="8"/>
  <c r="O207" i="8"/>
  <c r="N207" i="8"/>
  <c r="M207" i="8"/>
  <c r="K207" i="8"/>
  <c r="J207" i="8"/>
  <c r="H207" i="8"/>
  <c r="G207" i="8"/>
  <c r="F207" i="8"/>
  <c r="E207" i="8"/>
  <c r="C207" i="8"/>
  <c r="B207" i="8"/>
  <c r="P206" i="8"/>
  <c r="O206" i="8"/>
  <c r="N206" i="8"/>
  <c r="M206" i="8"/>
  <c r="K206" i="8"/>
  <c r="J206" i="8"/>
  <c r="H206" i="8"/>
  <c r="G206" i="8"/>
  <c r="F206" i="8"/>
  <c r="E206" i="8"/>
  <c r="C206" i="8"/>
  <c r="B206" i="8"/>
  <c r="P205" i="8"/>
  <c r="O205" i="8"/>
  <c r="N205" i="8"/>
  <c r="M205" i="8"/>
  <c r="K205" i="8"/>
  <c r="J205" i="8"/>
  <c r="H205" i="8"/>
  <c r="G205" i="8"/>
  <c r="F205" i="8"/>
  <c r="E205" i="8"/>
  <c r="C205" i="8"/>
  <c r="B205" i="8"/>
  <c r="P203" i="8"/>
  <c r="O203" i="8"/>
  <c r="N203" i="8"/>
  <c r="M203" i="8"/>
  <c r="K203" i="8"/>
  <c r="J203" i="8"/>
  <c r="H203" i="8"/>
  <c r="G203" i="8"/>
  <c r="F203" i="8"/>
  <c r="E203" i="8"/>
  <c r="C203" i="8"/>
  <c r="B203" i="8"/>
  <c r="P202" i="8"/>
  <c r="O202" i="8"/>
  <c r="N202" i="8"/>
  <c r="M202" i="8"/>
  <c r="K202" i="8"/>
  <c r="J202" i="8"/>
  <c r="H202" i="8"/>
  <c r="G202" i="8"/>
  <c r="F202" i="8"/>
  <c r="E202" i="8"/>
  <c r="C202" i="8"/>
  <c r="B202" i="8"/>
  <c r="P201" i="8"/>
  <c r="O201" i="8"/>
  <c r="N201" i="8"/>
  <c r="M201" i="8"/>
  <c r="K201" i="8"/>
  <c r="J201" i="8"/>
  <c r="H201" i="8"/>
  <c r="G201" i="8"/>
  <c r="F201" i="8"/>
  <c r="E201" i="8"/>
  <c r="C201" i="8"/>
  <c r="B201" i="8"/>
  <c r="P200" i="8"/>
  <c r="O200" i="8"/>
  <c r="N200" i="8"/>
  <c r="M200" i="8"/>
  <c r="K200" i="8"/>
  <c r="J200" i="8"/>
  <c r="H200" i="8"/>
  <c r="G200" i="8"/>
  <c r="F200" i="8"/>
  <c r="E200" i="8"/>
  <c r="C200" i="8"/>
  <c r="B200" i="8"/>
  <c r="P198" i="8"/>
  <c r="O198" i="8"/>
  <c r="N198" i="8"/>
  <c r="M198" i="8"/>
  <c r="K198" i="8"/>
  <c r="J198" i="8"/>
  <c r="H198" i="8"/>
  <c r="G198" i="8"/>
  <c r="F198" i="8"/>
  <c r="E198" i="8"/>
  <c r="C198" i="8"/>
  <c r="B198" i="8"/>
  <c r="P197" i="8"/>
  <c r="O197" i="8"/>
  <c r="N197" i="8"/>
  <c r="M197" i="8"/>
  <c r="K197" i="8"/>
  <c r="J197" i="8"/>
  <c r="H197" i="8"/>
  <c r="G197" i="8"/>
  <c r="F197" i="8"/>
  <c r="E197" i="8"/>
  <c r="C197" i="8"/>
  <c r="B197" i="8"/>
  <c r="P196" i="8"/>
  <c r="O196" i="8"/>
  <c r="N196" i="8"/>
  <c r="M196" i="8"/>
  <c r="K196" i="8"/>
  <c r="J196" i="8"/>
  <c r="H196" i="8"/>
  <c r="G196" i="8"/>
  <c r="F196" i="8"/>
  <c r="E196" i="8"/>
  <c r="C196" i="8"/>
  <c r="B196" i="8"/>
  <c r="P195" i="8"/>
  <c r="O195" i="8"/>
  <c r="N195" i="8"/>
  <c r="M195" i="8"/>
  <c r="K195" i="8"/>
  <c r="J195" i="8"/>
  <c r="H195" i="8"/>
  <c r="G195" i="8"/>
  <c r="F195" i="8"/>
  <c r="E195" i="8"/>
  <c r="C195" i="8"/>
  <c r="B195" i="8"/>
  <c r="P182" i="8"/>
  <c r="O182" i="8"/>
  <c r="N182" i="8"/>
  <c r="M182" i="8"/>
  <c r="K182" i="8"/>
  <c r="J182" i="8"/>
  <c r="H182" i="8"/>
  <c r="G182" i="8"/>
  <c r="F182" i="8"/>
  <c r="E182" i="8"/>
  <c r="C182" i="8"/>
  <c r="B182" i="8"/>
  <c r="P181" i="8"/>
  <c r="O181" i="8"/>
  <c r="N181" i="8"/>
  <c r="M181" i="8"/>
  <c r="K181" i="8"/>
  <c r="J181" i="8"/>
  <c r="H181" i="8"/>
  <c r="G181" i="8"/>
  <c r="F181" i="8"/>
  <c r="E181" i="8"/>
  <c r="C181" i="8"/>
  <c r="B181" i="8"/>
  <c r="P180" i="8"/>
  <c r="O180" i="8"/>
  <c r="N180" i="8"/>
  <c r="M180" i="8"/>
  <c r="K180" i="8"/>
  <c r="J180" i="8"/>
  <c r="H180" i="8"/>
  <c r="G180" i="8"/>
  <c r="F180" i="8"/>
  <c r="E180" i="8"/>
  <c r="C180" i="8"/>
  <c r="B180" i="8"/>
  <c r="P179" i="8"/>
  <c r="O179" i="8"/>
  <c r="N179" i="8"/>
  <c r="M179" i="8"/>
  <c r="K179" i="8"/>
  <c r="J179" i="8"/>
  <c r="H179" i="8"/>
  <c r="G179" i="8"/>
  <c r="F179" i="8"/>
  <c r="E179" i="8"/>
  <c r="C179" i="8"/>
  <c r="B179" i="8"/>
  <c r="P177" i="8"/>
  <c r="O177" i="8"/>
  <c r="N177" i="8"/>
  <c r="M177" i="8"/>
  <c r="K177" i="8"/>
  <c r="J177" i="8"/>
  <c r="H177" i="8"/>
  <c r="G177" i="8"/>
  <c r="F177" i="8"/>
  <c r="E177" i="8"/>
  <c r="C177" i="8"/>
  <c r="B177" i="8"/>
  <c r="P176" i="8"/>
  <c r="O176" i="8"/>
  <c r="N176" i="8"/>
  <c r="M176" i="8"/>
  <c r="K176" i="8"/>
  <c r="J176" i="8"/>
  <c r="H176" i="8"/>
  <c r="G176" i="8"/>
  <c r="F176" i="8"/>
  <c r="E176" i="8"/>
  <c r="C176" i="8"/>
  <c r="B176" i="8"/>
  <c r="P175" i="8"/>
  <c r="O175" i="8"/>
  <c r="N175" i="8"/>
  <c r="M175" i="8"/>
  <c r="K175" i="8"/>
  <c r="J175" i="8"/>
  <c r="H175" i="8"/>
  <c r="G175" i="8"/>
  <c r="F175" i="8"/>
  <c r="E175" i="8"/>
  <c r="C175" i="8"/>
  <c r="B175" i="8"/>
  <c r="P174" i="8"/>
  <c r="O174" i="8"/>
  <c r="N174" i="8"/>
  <c r="M174" i="8"/>
  <c r="K174" i="8"/>
  <c r="J174" i="8"/>
  <c r="H174" i="8"/>
  <c r="G174" i="8"/>
  <c r="F174" i="8"/>
  <c r="E174" i="8"/>
  <c r="C174" i="8"/>
  <c r="B174" i="8"/>
  <c r="P172" i="8"/>
  <c r="O172" i="8"/>
  <c r="N172" i="8"/>
  <c r="M172" i="8"/>
  <c r="K172" i="8"/>
  <c r="J172" i="8"/>
  <c r="H172" i="8"/>
  <c r="G172" i="8"/>
  <c r="F172" i="8"/>
  <c r="E172" i="8"/>
  <c r="C172" i="8"/>
  <c r="B172" i="8"/>
  <c r="P171" i="8"/>
  <c r="O171" i="8"/>
  <c r="N171" i="8"/>
  <c r="M171" i="8"/>
  <c r="K171" i="8"/>
  <c r="J171" i="8"/>
  <c r="H171" i="8"/>
  <c r="G171" i="8"/>
  <c r="F171" i="8"/>
  <c r="E171" i="8"/>
  <c r="C171" i="8"/>
  <c r="B171" i="8"/>
  <c r="P170" i="8"/>
  <c r="O170" i="8"/>
  <c r="N170" i="8"/>
  <c r="M170" i="8"/>
  <c r="K170" i="8"/>
  <c r="J170" i="8"/>
  <c r="H170" i="8"/>
  <c r="G170" i="8"/>
  <c r="F170" i="8"/>
  <c r="E170" i="8"/>
  <c r="C170" i="8"/>
  <c r="B170" i="8"/>
  <c r="P169" i="8"/>
  <c r="O169" i="8"/>
  <c r="N169" i="8"/>
  <c r="M169" i="8"/>
  <c r="K169" i="8"/>
  <c r="J169" i="8"/>
  <c r="H169" i="8"/>
  <c r="G169" i="8"/>
  <c r="F169" i="8"/>
  <c r="E169" i="8"/>
  <c r="C169" i="8"/>
  <c r="B169" i="8"/>
  <c r="P167" i="8"/>
  <c r="O167" i="8"/>
  <c r="N167" i="8"/>
  <c r="M167" i="8"/>
  <c r="K167" i="8"/>
  <c r="J167" i="8"/>
  <c r="H167" i="8"/>
  <c r="G167" i="8"/>
  <c r="F167" i="8"/>
  <c r="E167" i="8"/>
  <c r="C167" i="8"/>
  <c r="B167" i="8"/>
  <c r="P166" i="8"/>
  <c r="O166" i="8"/>
  <c r="N166" i="8"/>
  <c r="M166" i="8"/>
  <c r="K166" i="8"/>
  <c r="J166" i="8"/>
  <c r="H166" i="8"/>
  <c r="G166" i="8"/>
  <c r="F166" i="8"/>
  <c r="E166" i="8"/>
  <c r="C166" i="8"/>
  <c r="B166" i="8"/>
  <c r="P165" i="8"/>
  <c r="O165" i="8"/>
  <c r="N165" i="8"/>
  <c r="M165" i="8"/>
  <c r="K165" i="8"/>
  <c r="J165" i="8"/>
  <c r="H165" i="8"/>
  <c r="G165" i="8"/>
  <c r="F165" i="8"/>
  <c r="E165" i="8"/>
  <c r="C165" i="8"/>
  <c r="B165" i="8"/>
  <c r="P164" i="8"/>
  <c r="O164" i="8"/>
  <c r="N164" i="8"/>
  <c r="M164" i="8"/>
  <c r="K164" i="8"/>
  <c r="J164" i="8"/>
  <c r="H164" i="8"/>
  <c r="G164" i="8"/>
  <c r="F164" i="8"/>
  <c r="E164" i="8"/>
  <c r="C164" i="8"/>
  <c r="B164" i="8"/>
  <c r="P152" i="8"/>
  <c r="O152" i="8"/>
  <c r="N152" i="8"/>
  <c r="M152" i="8"/>
  <c r="K152" i="8"/>
  <c r="J152" i="8"/>
  <c r="H152" i="8"/>
  <c r="G152" i="8"/>
  <c r="F152" i="8"/>
  <c r="E152" i="8"/>
  <c r="C152" i="8"/>
  <c r="B152" i="8"/>
  <c r="P151" i="8"/>
  <c r="O151" i="8"/>
  <c r="N151" i="8"/>
  <c r="M151" i="8"/>
  <c r="K151" i="8"/>
  <c r="J151" i="8"/>
  <c r="H151" i="8"/>
  <c r="G151" i="8"/>
  <c r="F151" i="8"/>
  <c r="E151" i="8"/>
  <c r="C151" i="8"/>
  <c r="B151" i="8"/>
  <c r="P150" i="8"/>
  <c r="O150" i="8"/>
  <c r="N150" i="8"/>
  <c r="M150" i="8"/>
  <c r="K150" i="8"/>
  <c r="J150" i="8"/>
  <c r="H150" i="8"/>
  <c r="G150" i="8"/>
  <c r="F150" i="8"/>
  <c r="E150" i="8"/>
  <c r="C150" i="8"/>
  <c r="B150" i="8"/>
  <c r="P149" i="8"/>
  <c r="O149" i="8"/>
  <c r="N149" i="8"/>
  <c r="M149" i="8"/>
  <c r="K149" i="8"/>
  <c r="J149" i="8"/>
  <c r="H149" i="8"/>
  <c r="G149" i="8"/>
  <c r="F149" i="8"/>
  <c r="E149" i="8"/>
  <c r="C149" i="8"/>
  <c r="B149" i="8"/>
  <c r="P147" i="8"/>
  <c r="O147" i="8"/>
  <c r="N147" i="8"/>
  <c r="M147" i="8"/>
  <c r="K147" i="8"/>
  <c r="J147" i="8"/>
  <c r="H147" i="8"/>
  <c r="G147" i="8"/>
  <c r="F147" i="8"/>
  <c r="E147" i="8"/>
  <c r="C147" i="8"/>
  <c r="B147" i="8"/>
  <c r="P146" i="8"/>
  <c r="O146" i="8"/>
  <c r="N146" i="8"/>
  <c r="M146" i="8"/>
  <c r="K146" i="8"/>
  <c r="J146" i="8"/>
  <c r="H146" i="8"/>
  <c r="G146" i="8"/>
  <c r="F146" i="8"/>
  <c r="E146" i="8"/>
  <c r="C146" i="8"/>
  <c r="B146" i="8"/>
  <c r="P145" i="8"/>
  <c r="O145" i="8"/>
  <c r="N145" i="8"/>
  <c r="M145" i="8"/>
  <c r="K145" i="8"/>
  <c r="J145" i="8"/>
  <c r="H145" i="8"/>
  <c r="G145" i="8"/>
  <c r="F145" i="8"/>
  <c r="E145" i="8"/>
  <c r="C145" i="8"/>
  <c r="B145" i="8"/>
  <c r="P144" i="8"/>
  <c r="O144" i="8"/>
  <c r="N144" i="8"/>
  <c r="M144" i="8"/>
  <c r="K144" i="8"/>
  <c r="J144" i="8"/>
  <c r="H144" i="8"/>
  <c r="G144" i="8"/>
  <c r="F144" i="8"/>
  <c r="E144" i="8"/>
  <c r="C144" i="8"/>
  <c r="B144" i="8"/>
  <c r="P142" i="8"/>
  <c r="O142" i="8"/>
  <c r="N142" i="8"/>
  <c r="M142" i="8"/>
  <c r="K142" i="8"/>
  <c r="J142" i="8"/>
  <c r="H142" i="8"/>
  <c r="G142" i="8"/>
  <c r="F142" i="8"/>
  <c r="E142" i="8"/>
  <c r="C142" i="8"/>
  <c r="B142" i="8"/>
  <c r="P141" i="8"/>
  <c r="O141" i="8"/>
  <c r="N141" i="8"/>
  <c r="M141" i="8"/>
  <c r="K141" i="8"/>
  <c r="J141" i="8"/>
  <c r="H141" i="8"/>
  <c r="G141" i="8"/>
  <c r="F141" i="8"/>
  <c r="E141" i="8"/>
  <c r="C141" i="8"/>
  <c r="B141" i="8"/>
  <c r="P140" i="8"/>
  <c r="O140" i="8"/>
  <c r="N140" i="8"/>
  <c r="M140" i="8"/>
  <c r="K140" i="8"/>
  <c r="J140" i="8"/>
  <c r="H140" i="8"/>
  <c r="G140" i="8"/>
  <c r="F140" i="8"/>
  <c r="E140" i="8"/>
  <c r="C140" i="8"/>
  <c r="B140" i="8"/>
  <c r="P139" i="8"/>
  <c r="O139" i="8"/>
  <c r="N139" i="8"/>
  <c r="M139" i="8"/>
  <c r="K139" i="8"/>
  <c r="J139" i="8"/>
  <c r="H139" i="8"/>
  <c r="G139" i="8"/>
  <c r="F139" i="8"/>
  <c r="E139" i="8"/>
  <c r="C139" i="8"/>
  <c r="B139" i="8"/>
  <c r="P137" i="8"/>
  <c r="O137" i="8"/>
  <c r="N137" i="8"/>
  <c r="M137" i="8"/>
  <c r="K137" i="8"/>
  <c r="J137" i="8"/>
  <c r="H137" i="8"/>
  <c r="G137" i="8"/>
  <c r="F137" i="8"/>
  <c r="E137" i="8"/>
  <c r="C137" i="8"/>
  <c r="B137" i="8"/>
  <c r="P136" i="8"/>
  <c r="O136" i="8"/>
  <c r="N136" i="8"/>
  <c r="M136" i="8"/>
  <c r="K136" i="8"/>
  <c r="J136" i="8"/>
  <c r="H136" i="8"/>
  <c r="G136" i="8"/>
  <c r="F136" i="8"/>
  <c r="E136" i="8"/>
  <c r="C136" i="8"/>
  <c r="B136" i="8"/>
  <c r="P135" i="8"/>
  <c r="O135" i="8"/>
  <c r="N135" i="8"/>
  <c r="M135" i="8"/>
  <c r="K135" i="8"/>
  <c r="J135" i="8"/>
  <c r="H135" i="8"/>
  <c r="G135" i="8"/>
  <c r="F135" i="8"/>
  <c r="E135" i="8"/>
  <c r="C135" i="8"/>
  <c r="B135" i="8"/>
  <c r="P134" i="8"/>
  <c r="O134" i="8"/>
  <c r="N134" i="8"/>
  <c r="M134" i="8"/>
  <c r="K134" i="8"/>
  <c r="J134" i="8"/>
  <c r="H134" i="8"/>
  <c r="G134" i="8"/>
  <c r="F134" i="8"/>
  <c r="E134" i="8"/>
  <c r="C134" i="8"/>
  <c r="B134" i="8"/>
  <c r="P121" i="8"/>
  <c r="O121" i="8"/>
  <c r="N121" i="8"/>
  <c r="M121" i="8"/>
  <c r="K121" i="8"/>
  <c r="J121" i="8"/>
  <c r="H121" i="8"/>
  <c r="G121" i="8"/>
  <c r="F121" i="8"/>
  <c r="E121" i="8"/>
  <c r="C121" i="8"/>
  <c r="B121" i="8"/>
  <c r="P120" i="8"/>
  <c r="O120" i="8"/>
  <c r="N120" i="8"/>
  <c r="M120" i="8"/>
  <c r="K120" i="8"/>
  <c r="J120" i="8"/>
  <c r="H120" i="8"/>
  <c r="G120" i="8"/>
  <c r="F120" i="8"/>
  <c r="E120" i="8"/>
  <c r="C120" i="8"/>
  <c r="B120" i="8"/>
  <c r="P119" i="8"/>
  <c r="O119" i="8"/>
  <c r="N119" i="8"/>
  <c r="M119" i="8"/>
  <c r="K119" i="8"/>
  <c r="J119" i="8"/>
  <c r="H119" i="8"/>
  <c r="G119" i="8"/>
  <c r="F119" i="8"/>
  <c r="E119" i="8"/>
  <c r="C119" i="8"/>
  <c r="B119" i="8"/>
  <c r="P118" i="8"/>
  <c r="O118" i="8"/>
  <c r="N118" i="8"/>
  <c r="M118" i="8"/>
  <c r="K118" i="8"/>
  <c r="J118" i="8"/>
  <c r="H118" i="8"/>
  <c r="G118" i="8"/>
  <c r="F118" i="8"/>
  <c r="E118" i="8"/>
  <c r="C118" i="8"/>
  <c r="B118" i="8"/>
  <c r="P116" i="8"/>
  <c r="O116" i="8"/>
  <c r="N116" i="8"/>
  <c r="M116" i="8"/>
  <c r="K116" i="8"/>
  <c r="J116" i="8"/>
  <c r="H116" i="8"/>
  <c r="G116" i="8"/>
  <c r="F116" i="8"/>
  <c r="E116" i="8"/>
  <c r="C116" i="8"/>
  <c r="B116" i="8"/>
  <c r="P115" i="8"/>
  <c r="O115" i="8"/>
  <c r="N115" i="8"/>
  <c r="M115" i="8"/>
  <c r="K115" i="8"/>
  <c r="J115" i="8"/>
  <c r="H115" i="8"/>
  <c r="G115" i="8"/>
  <c r="F115" i="8"/>
  <c r="E115" i="8"/>
  <c r="C115" i="8"/>
  <c r="B115" i="8"/>
  <c r="P114" i="8"/>
  <c r="O114" i="8"/>
  <c r="N114" i="8"/>
  <c r="M114" i="8"/>
  <c r="K114" i="8"/>
  <c r="J114" i="8"/>
  <c r="H114" i="8"/>
  <c r="G114" i="8"/>
  <c r="F114" i="8"/>
  <c r="E114" i="8"/>
  <c r="C114" i="8"/>
  <c r="B114" i="8"/>
  <c r="P113" i="8"/>
  <c r="O113" i="8"/>
  <c r="N113" i="8"/>
  <c r="M113" i="8"/>
  <c r="K113" i="8"/>
  <c r="J113" i="8"/>
  <c r="H113" i="8"/>
  <c r="G113" i="8"/>
  <c r="F113" i="8"/>
  <c r="E113" i="8"/>
  <c r="C113" i="8"/>
  <c r="B113" i="8"/>
  <c r="P111" i="8"/>
  <c r="O111" i="8"/>
  <c r="N111" i="8"/>
  <c r="M111" i="8"/>
  <c r="K111" i="8"/>
  <c r="J111" i="8"/>
  <c r="H111" i="8"/>
  <c r="G111" i="8"/>
  <c r="F111" i="8"/>
  <c r="E111" i="8"/>
  <c r="C111" i="8"/>
  <c r="B111" i="8"/>
  <c r="P110" i="8"/>
  <c r="O110" i="8"/>
  <c r="N110" i="8"/>
  <c r="M110" i="8"/>
  <c r="K110" i="8"/>
  <c r="J110" i="8"/>
  <c r="H110" i="8"/>
  <c r="G110" i="8"/>
  <c r="F110" i="8"/>
  <c r="E110" i="8"/>
  <c r="C110" i="8"/>
  <c r="B110" i="8"/>
  <c r="P109" i="8"/>
  <c r="O109" i="8"/>
  <c r="N109" i="8"/>
  <c r="M109" i="8"/>
  <c r="K109" i="8"/>
  <c r="J109" i="8"/>
  <c r="H109" i="8"/>
  <c r="G109" i="8"/>
  <c r="F109" i="8"/>
  <c r="E109" i="8"/>
  <c r="C109" i="8"/>
  <c r="B109" i="8"/>
  <c r="P108" i="8"/>
  <c r="O108" i="8"/>
  <c r="N108" i="8"/>
  <c r="M108" i="8"/>
  <c r="K108" i="8"/>
  <c r="J108" i="8"/>
  <c r="H108" i="8"/>
  <c r="G108" i="8"/>
  <c r="F108" i="8"/>
  <c r="E108" i="8"/>
  <c r="C108" i="8"/>
  <c r="B108" i="8"/>
  <c r="P106" i="8"/>
  <c r="O106" i="8"/>
  <c r="N106" i="8"/>
  <c r="M106" i="8"/>
  <c r="K106" i="8"/>
  <c r="J106" i="8"/>
  <c r="H106" i="8"/>
  <c r="G106" i="8"/>
  <c r="F106" i="8"/>
  <c r="E106" i="8"/>
  <c r="C106" i="8"/>
  <c r="B106" i="8"/>
  <c r="P105" i="8"/>
  <c r="O105" i="8"/>
  <c r="N105" i="8"/>
  <c r="M105" i="8"/>
  <c r="K105" i="8"/>
  <c r="J105" i="8"/>
  <c r="H105" i="8"/>
  <c r="G105" i="8"/>
  <c r="F105" i="8"/>
  <c r="E105" i="8"/>
  <c r="C105" i="8"/>
  <c r="B105" i="8"/>
  <c r="P104" i="8"/>
  <c r="O104" i="8"/>
  <c r="N104" i="8"/>
  <c r="M104" i="8"/>
  <c r="K104" i="8"/>
  <c r="J104" i="8"/>
  <c r="H104" i="8"/>
  <c r="G104" i="8"/>
  <c r="F104" i="8"/>
  <c r="E104" i="8"/>
  <c r="C104" i="8"/>
  <c r="B104" i="8"/>
  <c r="P103" i="8"/>
  <c r="O103" i="8"/>
  <c r="N103" i="8"/>
  <c r="M103" i="8"/>
  <c r="K103" i="8"/>
  <c r="J103" i="8"/>
  <c r="H103" i="8"/>
  <c r="G103" i="8"/>
  <c r="F103" i="8"/>
  <c r="E103" i="8"/>
  <c r="C103" i="8"/>
  <c r="B103" i="8"/>
  <c r="P90" i="8"/>
  <c r="O90" i="8"/>
  <c r="N90" i="8"/>
  <c r="M90" i="8"/>
  <c r="K90" i="8"/>
  <c r="J90" i="8"/>
  <c r="H90" i="8"/>
  <c r="G90" i="8"/>
  <c r="F90" i="8"/>
  <c r="E90" i="8"/>
  <c r="C90" i="8"/>
  <c r="B90" i="8"/>
  <c r="P89" i="8"/>
  <c r="O89" i="8"/>
  <c r="N89" i="8"/>
  <c r="M89" i="8"/>
  <c r="K89" i="8"/>
  <c r="J89" i="8"/>
  <c r="H89" i="8"/>
  <c r="G89" i="8"/>
  <c r="F89" i="8"/>
  <c r="E89" i="8"/>
  <c r="C89" i="8"/>
  <c r="B89" i="8"/>
  <c r="P88" i="8"/>
  <c r="O88" i="8"/>
  <c r="N88" i="8"/>
  <c r="M88" i="8"/>
  <c r="K88" i="8"/>
  <c r="J88" i="8"/>
  <c r="H88" i="8"/>
  <c r="G88" i="8"/>
  <c r="F88" i="8"/>
  <c r="E88" i="8"/>
  <c r="C88" i="8"/>
  <c r="B88" i="8"/>
  <c r="P87" i="8"/>
  <c r="O87" i="8"/>
  <c r="N87" i="8"/>
  <c r="M87" i="8"/>
  <c r="K87" i="8"/>
  <c r="J87" i="8"/>
  <c r="H87" i="8"/>
  <c r="G87" i="8"/>
  <c r="F87" i="8"/>
  <c r="E87" i="8"/>
  <c r="C87" i="8"/>
  <c r="B87" i="8"/>
  <c r="P85" i="8"/>
  <c r="O85" i="8"/>
  <c r="N85" i="8"/>
  <c r="M85" i="8"/>
  <c r="K85" i="8"/>
  <c r="J85" i="8"/>
  <c r="H85" i="8"/>
  <c r="G85" i="8"/>
  <c r="F85" i="8"/>
  <c r="E85" i="8"/>
  <c r="C85" i="8"/>
  <c r="B85" i="8"/>
  <c r="P84" i="8"/>
  <c r="O84" i="8"/>
  <c r="N84" i="8"/>
  <c r="M84" i="8"/>
  <c r="K84" i="8"/>
  <c r="J84" i="8"/>
  <c r="H84" i="8"/>
  <c r="G84" i="8"/>
  <c r="F84" i="8"/>
  <c r="E84" i="8"/>
  <c r="C84" i="8"/>
  <c r="B84" i="8"/>
  <c r="P83" i="8"/>
  <c r="O83" i="8"/>
  <c r="N83" i="8"/>
  <c r="M83" i="8"/>
  <c r="K83" i="8"/>
  <c r="J83" i="8"/>
  <c r="H83" i="8"/>
  <c r="G83" i="8"/>
  <c r="F83" i="8"/>
  <c r="E83" i="8"/>
  <c r="C83" i="8"/>
  <c r="B83" i="8"/>
  <c r="P82" i="8"/>
  <c r="O82" i="8"/>
  <c r="N82" i="8"/>
  <c r="M82" i="8"/>
  <c r="K82" i="8"/>
  <c r="J82" i="8"/>
  <c r="H82" i="8"/>
  <c r="G82" i="8"/>
  <c r="F82" i="8"/>
  <c r="E82" i="8"/>
  <c r="C82" i="8"/>
  <c r="B82" i="8"/>
  <c r="P80" i="8"/>
  <c r="O80" i="8"/>
  <c r="N80" i="8"/>
  <c r="M80" i="8"/>
  <c r="K80" i="8"/>
  <c r="J80" i="8"/>
  <c r="H80" i="8"/>
  <c r="G80" i="8"/>
  <c r="F80" i="8"/>
  <c r="E80" i="8"/>
  <c r="C80" i="8"/>
  <c r="B80" i="8"/>
  <c r="P79" i="8"/>
  <c r="O79" i="8"/>
  <c r="N79" i="8"/>
  <c r="M79" i="8"/>
  <c r="K79" i="8"/>
  <c r="J79" i="8"/>
  <c r="H79" i="8"/>
  <c r="G79" i="8"/>
  <c r="F79" i="8"/>
  <c r="E79" i="8"/>
  <c r="C79" i="8"/>
  <c r="B79" i="8"/>
  <c r="P78" i="8"/>
  <c r="O78" i="8"/>
  <c r="N78" i="8"/>
  <c r="M78" i="8"/>
  <c r="K78" i="8"/>
  <c r="J78" i="8"/>
  <c r="H78" i="8"/>
  <c r="G78" i="8"/>
  <c r="F78" i="8"/>
  <c r="E78" i="8"/>
  <c r="C78" i="8"/>
  <c r="B78" i="8"/>
  <c r="P77" i="8"/>
  <c r="O77" i="8"/>
  <c r="N77" i="8"/>
  <c r="M77" i="8"/>
  <c r="K77" i="8"/>
  <c r="J77" i="8"/>
  <c r="H77" i="8"/>
  <c r="G77" i="8"/>
  <c r="F77" i="8"/>
  <c r="E77" i="8"/>
  <c r="C77" i="8"/>
  <c r="B77" i="8"/>
  <c r="P75" i="8"/>
  <c r="O75" i="8"/>
  <c r="N75" i="8"/>
  <c r="M75" i="8"/>
  <c r="K75" i="8"/>
  <c r="J75" i="8"/>
  <c r="H75" i="8"/>
  <c r="G75" i="8"/>
  <c r="F75" i="8"/>
  <c r="E75" i="8"/>
  <c r="C75" i="8"/>
  <c r="B75" i="8"/>
  <c r="P74" i="8"/>
  <c r="O74" i="8"/>
  <c r="N74" i="8"/>
  <c r="M74" i="8"/>
  <c r="K74" i="8"/>
  <c r="J74" i="8"/>
  <c r="H74" i="8"/>
  <c r="G74" i="8"/>
  <c r="F74" i="8"/>
  <c r="E74" i="8"/>
  <c r="C74" i="8"/>
  <c r="B74" i="8"/>
  <c r="P73" i="8"/>
  <c r="O73" i="8"/>
  <c r="N73" i="8"/>
  <c r="M73" i="8"/>
  <c r="K73" i="8"/>
  <c r="J73" i="8"/>
  <c r="H73" i="8"/>
  <c r="G73" i="8"/>
  <c r="F73" i="8"/>
  <c r="E73" i="8"/>
  <c r="C73" i="8"/>
  <c r="B73" i="8"/>
  <c r="P72" i="8"/>
  <c r="O72" i="8"/>
  <c r="N72" i="8"/>
  <c r="M72" i="8"/>
  <c r="K72" i="8"/>
  <c r="J72" i="8"/>
  <c r="H72" i="8"/>
  <c r="G72" i="8"/>
  <c r="F72" i="8"/>
  <c r="E72" i="8"/>
  <c r="C72" i="8"/>
  <c r="B72" i="8"/>
  <c r="P59" i="8"/>
  <c r="O59" i="8"/>
  <c r="N59" i="8"/>
  <c r="M59" i="8"/>
  <c r="K59" i="8"/>
  <c r="J59" i="8"/>
  <c r="H59" i="8"/>
  <c r="G59" i="8"/>
  <c r="F59" i="8"/>
  <c r="E59" i="8"/>
  <c r="C59" i="8"/>
  <c r="B59" i="8"/>
  <c r="P58" i="8"/>
  <c r="O58" i="8"/>
  <c r="N58" i="8"/>
  <c r="M58" i="8"/>
  <c r="K58" i="8"/>
  <c r="J58" i="8"/>
  <c r="H58" i="8"/>
  <c r="G58" i="8"/>
  <c r="F58" i="8"/>
  <c r="E58" i="8"/>
  <c r="C58" i="8"/>
  <c r="B58" i="8"/>
  <c r="P57" i="8"/>
  <c r="O57" i="8"/>
  <c r="N57" i="8"/>
  <c r="M57" i="8"/>
  <c r="K57" i="8"/>
  <c r="J57" i="8"/>
  <c r="H57" i="8"/>
  <c r="G57" i="8"/>
  <c r="F57" i="8"/>
  <c r="E57" i="8"/>
  <c r="C57" i="8"/>
  <c r="B57" i="8"/>
  <c r="P56" i="8"/>
  <c r="O56" i="8"/>
  <c r="N56" i="8"/>
  <c r="M56" i="8"/>
  <c r="K56" i="8"/>
  <c r="J56" i="8"/>
  <c r="H56" i="8"/>
  <c r="G56" i="8"/>
  <c r="F56" i="8"/>
  <c r="E56" i="8"/>
  <c r="C56" i="8"/>
  <c r="B56" i="8"/>
  <c r="P54" i="8"/>
  <c r="O54" i="8"/>
  <c r="N54" i="8"/>
  <c r="M54" i="8"/>
  <c r="K54" i="8"/>
  <c r="J54" i="8"/>
  <c r="H54" i="8"/>
  <c r="G54" i="8"/>
  <c r="F54" i="8"/>
  <c r="E54" i="8"/>
  <c r="C54" i="8"/>
  <c r="B54" i="8"/>
  <c r="P53" i="8"/>
  <c r="O53" i="8"/>
  <c r="N53" i="8"/>
  <c r="M53" i="8"/>
  <c r="K53" i="8"/>
  <c r="J53" i="8"/>
  <c r="H53" i="8"/>
  <c r="G53" i="8"/>
  <c r="F53" i="8"/>
  <c r="E53" i="8"/>
  <c r="C53" i="8"/>
  <c r="B53" i="8"/>
  <c r="P52" i="8"/>
  <c r="O52" i="8"/>
  <c r="N52" i="8"/>
  <c r="M52" i="8"/>
  <c r="K52" i="8"/>
  <c r="J52" i="8"/>
  <c r="H52" i="8"/>
  <c r="G52" i="8"/>
  <c r="F52" i="8"/>
  <c r="E52" i="8"/>
  <c r="C52" i="8"/>
  <c r="B52" i="8"/>
  <c r="P51" i="8"/>
  <c r="O51" i="8"/>
  <c r="N51" i="8"/>
  <c r="M51" i="8"/>
  <c r="K51" i="8"/>
  <c r="J51" i="8"/>
  <c r="H51" i="8"/>
  <c r="G51" i="8"/>
  <c r="F51" i="8"/>
  <c r="E51" i="8"/>
  <c r="C51" i="8"/>
  <c r="B51" i="8"/>
  <c r="P49" i="8"/>
  <c r="O49" i="8"/>
  <c r="N49" i="8"/>
  <c r="M49" i="8"/>
  <c r="K49" i="8"/>
  <c r="J49" i="8"/>
  <c r="H49" i="8"/>
  <c r="G49" i="8"/>
  <c r="F49" i="8"/>
  <c r="E49" i="8"/>
  <c r="C49" i="8"/>
  <c r="B49" i="8"/>
  <c r="P48" i="8"/>
  <c r="O48" i="8"/>
  <c r="N48" i="8"/>
  <c r="M48" i="8"/>
  <c r="K48" i="8"/>
  <c r="J48" i="8"/>
  <c r="H48" i="8"/>
  <c r="G48" i="8"/>
  <c r="F48" i="8"/>
  <c r="E48" i="8"/>
  <c r="C48" i="8"/>
  <c r="B48" i="8"/>
  <c r="P47" i="8"/>
  <c r="O47" i="8"/>
  <c r="N47" i="8"/>
  <c r="M47" i="8"/>
  <c r="K47" i="8"/>
  <c r="J47" i="8"/>
  <c r="H47" i="8"/>
  <c r="G47" i="8"/>
  <c r="F47" i="8"/>
  <c r="E47" i="8"/>
  <c r="C47" i="8"/>
  <c r="B47" i="8"/>
  <c r="P46" i="8"/>
  <c r="O46" i="8"/>
  <c r="N46" i="8"/>
  <c r="M46" i="8"/>
  <c r="K46" i="8"/>
  <c r="J46" i="8"/>
  <c r="H46" i="8"/>
  <c r="G46" i="8"/>
  <c r="F46" i="8"/>
  <c r="E46" i="8"/>
  <c r="C46" i="8"/>
  <c r="B46" i="8"/>
  <c r="P44" i="8"/>
  <c r="O44" i="8"/>
  <c r="N44" i="8"/>
  <c r="M44" i="8"/>
  <c r="K44" i="8"/>
  <c r="J44" i="8"/>
  <c r="H44" i="8"/>
  <c r="G44" i="8"/>
  <c r="F44" i="8"/>
  <c r="E44" i="8"/>
  <c r="C44" i="8"/>
  <c r="B44" i="8"/>
  <c r="P43" i="8"/>
  <c r="O43" i="8"/>
  <c r="N43" i="8"/>
  <c r="M43" i="8"/>
  <c r="K43" i="8"/>
  <c r="J43" i="8"/>
  <c r="H43" i="8"/>
  <c r="G43" i="8"/>
  <c r="F43" i="8"/>
  <c r="E43" i="8"/>
  <c r="C43" i="8"/>
  <c r="B43" i="8"/>
  <c r="P42" i="8"/>
  <c r="O42" i="8"/>
  <c r="N42" i="8"/>
  <c r="M42" i="8"/>
  <c r="K42" i="8"/>
  <c r="J42" i="8"/>
  <c r="H42" i="8"/>
  <c r="G42" i="8"/>
  <c r="F42" i="8"/>
  <c r="E42" i="8"/>
  <c r="C42" i="8"/>
  <c r="B42" i="8"/>
  <c r="P41" i="8"/>
  <c r="O41" i="8"/>
  <c r="N41" i="8"/>
  <c r="M41" i="8"/>
  <c r="K41" i="8"/>
  <c r="J41" i="8"/>
  <c r="H41" i="8"/>
  <c r="G41" i="8"/>
  <c r="F41" i="8"/>
  <c r="E41" i="8"/>
  <c r="C41" i="8"/>
  <c r="B41" i="8"/>
  <c r="P27" i="8"/>
  <c r="O27" i="8"/>
  <c r="N27" i="8"/>
  <c r="M27" i="8"/>
  <c r="K27" i="8"/>
  <c r="J27" i="8"/>
  <c r="P26" i="8"/>
  <c r="O26" i="8"/>
  <c r="N26" i="8"/>
  <c r="M26" i="8"/>
  <c r="K26" i="8"/>
  <c r="J26" i="8"/>
  <c r="P25" i="8"/>
  <c r="O25" i="8"/>
  <c r="N25" i="8"/>
  <c r="M25" i="8"/>
  <c r="K25" i="8"/>
  <c r="J25" i="8"/>
  <c r="P24" i="8"/>
  <c r="O24" i="8"/>
  <c r="N24" i="8"/>
  <c r="M24" i="8"/>
  <c r="K24" i="8"/>
  <c r="J24" i="8"/>
  <c r="P22" i="8"/>
  <c r="O22" i="8"/>
  <c r="N22" i="8"/>
  <c r="M22" i="8"/>
  <c r="K22" i="8"/>
  <c r="J22" i="8"/>
  <c r="P21" i="8"/>
  <c r="O21" i="8"/>
  <c r="N21" i="8"/>
  <c r="M21" i="8"/>
  <c r="K21" i="8"/>
  <c r="J21" i="8"/>
  <c r="P20" i="8"/>
  <c r="O20" i="8"/>
  <c r="N20" i="8"/>
  <c r="M20" i="8"/>
  <c r="K20" i="8"/>
  <c r="J20" i="8"/>
  <c r="P19" i="8"/>
  <c r="O19" i="8"/>
  <c r="N19" i="8"/>
  <c r="M19" i="8"/>
  <c r="K19" i="8"/>
  <c r="J19" i="8"/>
  <c r="P17" i="8"/>
  <c r="O17" i="8"/>
  <c r="N17" i="8"/>
  <c r="M17" i="8"/>
  <c r="K17" i="8"/>
  <c r="J17" i="8"/>
  <c r="P16" i="8"/>
  <c r="O16" i="8"/>
  <c r="N16" i="8"/>
  <c r="M16" i="8"/>
  <c r="K16" i="8"/>
  <c r="J16" i="8"/>
  <c r="P15" i="8"/>
  <c r="O15" i="8"/>
  <c r="N15" i="8"/>
  <c r="M15" i="8"/>
  <c r="K15" i="8"/>
  <c r="J15" i="8"/>
  <c r="P14" i="8"/>
  <c r="O14" i="8"/>
  <c r="N14" i="8"/>
  <c r="M14" i="8"/>
  <c r="K14" i="8"/>
  <c r="J14" i="8"/>
  <c r="P12" i="8"/>
  <c r="O12" i="8"/>
  <c r="N12" i="8"/>
  <c r="M12" i="8"/>
  <c r="K12" i="8"/>
  <c r="J12" i="8"/>
  <c r="P11" i="8"/>
  <c r="O11" i="8"/>
  <c r="N11" i="8"/>
  <c r="M11" i="8"/>
  <c r="K11" i="8"/>
  <c r="J11" i="8"/>
  <c r="P10" i="8"/>
  <c r="O10" i="8"/>
  <c r="N10" i="8"/>
  <c r="M10" i="8"/>
  <c r="K10" i="8"/>
  <c r="J10" i="8"/>
  <c r="P9" i="8"/>
  <c r="O9" i="8"/>
  <c r="N9" i="8"/>
  <c r="M9" i="8"/>
  <c r="K9" i="8"/>
  <c r="J9" i="8"/>
  <c r="H27" i="8"/>
  <c r="G27" i="8"/>
  <c r="F27" i="8"/>
  <c r="E27" i="8"/>
  <c r="C27" i="8"/>
  <c r="B27" i="8"/>
  <c r="H26" i="8"/>
  <c r="G26" i="8"/>
  <c r="F26" i="8"/>
  <c r="E26" i="8"/>
  <c r="C26" i="8"/>
  <c r="B26" i="8"/>
  <c r="H25" i="8"/>
  <c r="G25" i="8"/>
  <c r="F25" i="8"/>
  <c r="E25" i="8"/>
  <c r="C25" i="8"/>
  <c r="B25" i="8"/>
  <c r="H24" i="8"/>
  <c r="G24" i="8"/>
  <c r="F24" i="8"/>
  <c r="E24" i="8"/>
  <c r="C24" i="8"/>
  <c r="B24" i="8"/>
  <c r="H22" i="8"/>
  <c r="G22" i="8"/>
  <c r="F22" i="8"/>
  <c r="E22" i="8"/>
  <c r="C22" i="8"/>
  <c r="B22" i="8"/>
  <c r="H21" i="8"/>
  <c r="G21" i="8"/>
  <c r="F21" i="8"/>
  <c r="E21" i="8"/>
  <c r="C21" i="8"/>
  <c r="B21" i="8"/>
  <c r="H20" i="8"/>
  <c r="G20" i="8"/>
  <c r="F20" i="8"/>
  <c r="E20" i="8"/>
  <c r="C20" i="8"/>
  <c r="B20" i="8"/>
  <c r="H19" i="8"/>
  <c r="G19" i="8"/>
  <c r="F19" i="8"/>
  <c r="E19" i="8"/>
  <c r="C19" i="8"/>
  <c r="B19" i="8"/>
  <c r="H17" i="8"/>
  <c r="G17" i="8"/>
  <c r="F17" i="8"/>
  <c r="E17" i="8"/>
  <c r="C17" i="8"/>
  <c r="B17" i="8"/>
  <c r="H16" i="8"/>
  <c r="G16" i="8"/>
  <c r="F16" i="8"/>
  <c r="E16" i="8"/>
  <c r="C16" i="8"/>
  <c r="B16" i="8"/>
  <c r="H15" i="8"/>
  <c r="G15" i="8"/>
  <c r="F15" i="8"/>
  <c r="E15" i="8"/>
  <c r="C15" i="8"/>
  <c r="B15" i="8"/>
  <c r="H14" i="8"/>
  <c r="G14" i="8"/>
  <c r="F14" i="8"/>
  <c r="E14" i="8"/>
  <c r="C14" i="8"/>
  <c r="B14" i="8"/>
  <c r="H12" i="8"/>
  <c r="G12" i="8"/>
  <c r="F12" i="8"/>
  <c r="E12" i="8"/>
  <c r="C12" i="8"/>
  <c r="B12" i="8"/>
  <c r="H11" i="8"/>
  <c r="G11" i="8"/>
  <c r="F11" i="8"/>
  <c r="E11" i="8"/>
  <c r="C11" i="8"/>
  <c r="B11" i="8"/>
  <c r="H10" i="8"/>
  <c r="G10" i="8"/>
  <c r="F10" i="8"/>
  <c r="E10" i="8"/>
  <c r="H9" i="8"/>
  <c r="G9" i="8"/>
  <c r="F9" i="8"/>
  <c r="E9" i="8"/>
  <c r="C10" i="8"/>
  <c r="C9" i="8"/>
  <c r="B10" i="8"/>
  <c r="B9" i="8"/>
  <c r="Q454" i="8"/>
  <c r="Q449" i="8"/>
  <c r="Q444" i="8"/>
  <c r="Q439" i="8"/>
  <c r="Q438" i="8"/>
  <c r="Q437" i="8"/>
  <c r="Q436" i="8"/>
  <c r="Q435" i="8"/>
  <c r="Q434" i="8"/>
  <c r="Q433" i="8"/>
  <c r="Q432" i="8"/>
  <c r="Q431" i="8"/>
  <c r="Q430" i="8"/>
  <c r="Q429" i="8"/>
  <c r="Q424" i="8"/>
  <c r="Q419" i="8"/>
  <c r="Q414" i="8"/>
  <c r="Q409" i="8"/>
  <c r="Q408" i="8"/>
  <c r="Q407" i="8"/>
  <c r="Q406" i="8"/>
  <c r="Q405" i="8"/>
  <c r="Q404" i="8"/>
  <c r="Q403" i="8"/>
  <c r="Q402" i="8"/>
  <c r="Q401" i="8"/>
  <c r="Q400" i="8"/>
  <c r="Q399" i="8"/>
  <c r="Q394" i="8"/>
  <c r="Q389" i="8"/>
  <c r="Q384" i="8"/>
  <c r="Q379" i="8"/>
  <c r="Q378" i="8"/>
  <c r="Q377" i="8"/>
  <c r="Q376" i="8"/>
  <c r="Q375" i="8"/>
  <c r="Q374" i="8"/>
  <c r="Q373" i="8"/>
  <c r="Q372" i="8"/>
  <c r="Q371" i="8"/>
  <c r="Q370" i="8"/>
  <c r="Q369" i="8"/>
  <c r="Q368" i="8"/>
  <c r="Q363" i="8"/>
  <c r="Q358" i="8"/>
  <c r="Q353" i="8"/>
  <c r="Q348" i="8"/>
  <c r="Q347" i="8"/>
  <c r="Q346" i="8"/>
  <c r="Q345" i="8"/>
  <c r="Q344" i="8"/>
  <c r="Q343" i="8"/>
  <c r="Q342" i="8"/>
  <c r="Q341" i="8"/>
  <c r="Q340" i="8"/>
  <c r="Q339" i="8"/>
  <c r="Q338" i="8"/>
  <c r="Q333" i="8"/>
  <c r="Q328" i="8"/>
  <c r="Q323" i="8"/>
  <c r="Q318" i="8"/>
  <c r="Q317" i="8"/>
  <c r="Q316" i="8"/>
  <c r="Q315" i="8"/>
  <c r="Q314" i="8"/>
  <c r="Q313" i="8"/>
  <c r="Q312" i="8"/>
  <c r="Q311" i="8"/>
  <c r="Q310" i="8"/>
  <c r="Q309" i="8"/>
  <c r="Q308" i="8"/>
  <c r="Q307" i="8"/>
  <c r="Q302" i="8"/>
  <c r="Q297" i="8"/>
  <c r="Q292" i="8"/>
  <c r="Q287" i="8"/>
  <c r="Q286" i="8"/>
  <c r="Q285" i="8"/>
  <c r="Q284" i="8"/>
  <c r="Q283" i="8"/>
  <c r="Q282" i="8"/>
  <c r="Q281" i="8"/>
  <c r="Q280" i="8"/>
  <c r="Q279" i="8"/>
  <c r="Q278" i="8"/>
  <c r="Q277" i="8"/>
  <c r="Q276" i="8"/>
  <c r="Q271" i="8"/>
  <c r="Q266" i="8"/>
  <c r="Q261" i="8"/>
  <c r="Q256" i="8"/>
  <c r="Q255" i="8"/>
  <c r="Q254" i="8"/>
  <c r="Q253" i="8"/>
  <c r="Q252" i="8"/>
  <c r="Q251" i="8"/>
  <c r="Q250" i="8"/>
  <c r="Q249" i="8"/>
  <c r="Q248" i="8"/>
  <c r="Q247" i="8"/>
  <c r="Q246" i="8"/>
  <c r="Q245" i="8"/>
  <c r="Q240" i="8"/>
  <c r="Q235" i="8"/>
  <c r="Q230" i="8"/>
  <c r="Q225" i="8"/>
  <c r="Q224" i="8"/>
  <c r="Q223" i="8"/>
  <c r="Q222" i="8"/>
  <c r="Q221" i="8"/>
  <c r="Q220" i="8"/>
  <c r="Q219" i="8"/>
  <c r="Q218" i="8"/>
  <c r="R217" i="8"/>
  <c r="Q217" i="8"/>
  <c r="R215" i="8"/>
  <c r="Q215" i="8"/>
  <c r="R214" i="8"/>
  <c r="Q214" i="8"/>
  <c r="R209" i="8"/>
  <c r="Q209" i="8"/>
  <c r="R204" i="8"/>
  <c r="Q204" i="8"/>
  <c r="R199" i="8"/>
  <c r="Q199" i="8"/>
  <c r="R178" i="8"/>
  <c r="Q178" i="8"/>
  <c r="R173" i="8"/>
  <c r="Q173" i="8"/>
  <c r="R168" i="8"/>
  <c r="Q168" i="8"/>
  <c r="R148" i="8"/>
  <c r="Q148" i="8"/>
  <c r="R143" i="8"/>
  <c r="Q143" i="8"/>
  <c r="R138" i="8"/>
  <c r="Q138" i="8"/>
  <c r="R117" i="8"/>
  <c r="Q117" i="8"/>
  <c r="R112" i="8"/>
  <c r="Q112" i="8"/>
  <c r="R107" i="8"/>
  <c r="Q107" i="8"/>
  <c r="R86" i="8"/>
  <c r="Q86" i="8"/>
  <c r="R81" i="8"/>
  <c r="Q81" i="8"/>
  <c r="R76" i="8"/>
  <c r="Q76" i="8"/>
  <c r="R55" i="8"/>
  <c r="Q55" i="8"/>
  <c r="R50" i="8"/>
  <c r="Q50" i="8"/>
  <c r="R45" i="8"/>
  <c r="Q45" i="8"/>
  <c r="R23" i="8"/>
  <c r="Q23" i="8"/>
  <c r="R18" i="8"/>
  <c r="Q18" i="8"/>
  <c r="R13" i="8"/>
  <c r="Q13" i="8"/>
  <c r="P26" i="6"/>
  <c r="O26" i="6"/>
  <c r="N26" i="6"/>
  <c r="M26" i="6"/>
  <c r="K26" i="6"/>
  <c r="J26" i="6"/>
  <c r="P25" i="6"/>
  <c r="O25" i="6"/>
  <c r="N25" i="6"/>
  <c r="M25" i="6"/>
  <c r="K25" i="6"/>
  <c r="J25" i="6"/>
  <c r="P24" i="6"/>
  <c r="O24" i="6"/>
  <c r="N24" i="6"/>
  <c r="M24" i="6"/>
  <c r="K24" i="6"/>
  <c r="J24" i="6"/>
  <c r="P22" i="6"/>
  <c r="O22" i="6"/>
  <c r="N22" i="6"/>
  <c r="M22" i="6"/>
  <c r="K22" i="6"/>
  <c r="J22" i="6"/>
  <c r="P21" i="6"/>
  <c r="O21" i="6"/>
  <c r="N21" i="6"/>
  <c r="M21" i="6"/>
  <c r="K21" i="6"/>
  <c r="J21" i="6"/>
  <c r="P20" i="6"/>
  <c r="O20" i="6"/>
  <c r="N20" i="6"/>
  <c r="M20" i="6"/>
  <c r="K20" i="6"/>
  <c r="J20" i="6"/>
  <c r="P19" i="6"/>
  <c r="O19" i="6"/>
  <c r="N19" i="6"/>
  <c r="M19" i="6"/>
  <c r="K19" i="6"/>
  <c r="J19" i="6"/>
  <c r="P17" i="6"/>
  <c r="O17" i="6"/>
  <c r="N17" i="6"/>
  <c r="M17" i="6"/>
  <c r="K17" i="6"/>
  <c r="J17" i="6"/>
  <c r="P15" i="6"/>
  <c r="O15" i="6"/>
  <c r="N15" i="6"/>
  <c r="M15" i="6"/>
  <c r="K15" i="6"/>
  <c r="J15" i="6"/>
  <c r="P14" i="6"/>
  <c r="O14" i="6"/>
  <c r="N14" i="6"/>
  <c r="M14" i="6"/>
  <c r="K14" i="6"/>
  <c r="J14" i="6"/>
  <c r="P12" i="6"/>
  <c r="O12" i="6"/>
  <c r="N12" i="6"/>
  <c r="M12" i="6"/>
  <c r="K12" i="6"/>
  <c r="J12" i="6"/>
  <c r="P11" i="6"/>
  <c r="O11" i="6"/>
  <c r="N11" i="6"/>
  <c r="M11" i="6"/>
  <c r="K11" i="6"/>
  <c r="J11" i="6"/>
  <c r="P10" i="6"/>
  <c r="O10" i="6"/>
  <c r="N10" i="6"/>
  <c r="M10" i="6"/>
  <c r="K10" i="6"/>
  <c r="J10" i="6"/>
  <c r="P9" i="6"/>
  <c r="O9" i="6"/>
  <c r="N9" i="6"/>
  <c r="M9" i="6"/>
  <c r="K9" i="6"/>
  <c r="J9" i="6"/>
  <c r="H26" i="6"/>
  <c r="G26" i="6"/>
  <c r="F26" i="6"/>
  <c r="E26" i="6"/>
  <c r="C26" i="6"/>
  <c r="H24" i="5" s="1"/>
  <c r="H25" i="6"/>
  <c r="G25" i="6"/>
  <c r="F25" i="6"/>
  <c r="E25" i="6"/>
  <c r="C25" i="6"/>
  <c r="B25" i="6"/>
  <c r="H24" i="6"/>
  <c r="G24" i="6"/>
  <c r="F24" i="6"/>
  <c r="E24" i="6"/>
  <c r="C24" i="6"/>
  <c r="B24" i="6"/>
  <c r="H22" i="5" s="1"/>
  <c r="H22" i="6"/>
  <c r="G22" i="6"/>
  <c r="F22" i="6"/>
  <c r="E22" i="6"/>
  <c r="C22" i="6"/>
  <c r="B22" i="6"/>
  <c r="H21" i="6"/>
  <c r="G21" i="6"/>
  <c r="F21" i="6"/>
  <c r="E21" i="6"/>
  <c r="C21" i="6"/>
  <c r="B21" i="6"/>
  <c r="H20" i="6"/>
  <c r="G20" i="6"/>
  <c r="F20" i="6"/>
  <c r="E20" i="6"/>
  <c r="C20" i="6"/>
  <c r="B20" i="6"/>
  <c r="H19" i="6"/>
  <c r="G19" i="6"/>
  <c r="F19" i="6"/>
  <c r="E19" i="6"/>
  <c r="C19" i="6"/>
  <c r="B19" i="6"/>
  <c r="H17" i="5" s="1"/>
  <c r="H17" i="6"/>
  <c r="G17" i="6"/>
  <c r="F17" i="6"/>
  <c r="E17" i="6"/>
  <c r="C17" i="6"/>
  <c r="B17" i="6"/>
  <c r="H15" i="6"/>
  <c r="G15" i="6"/>
  <c r="F15" i="6"/>
  <c r="E15" i="6"/>
  <c r="C15" i="6"/>
  <c r="B15" i="6"/>
  <c r="H14" i="6"/>
  <c r="G14" i="6"/>
  <c r="F14" i="6"/>
  <c r="E14" i="6"/>
  <c r="C14" i="6"/>
  <c r="B14" i="6"/>
  <c r="H12" i="6"/>
  <c r="G12" i="6"/>
  <c r="F12" i="6"/>
  <c r="E12" i="6"/>
  <c r="C12" i="6"/>
  <c r="B12" i="6"/>
  <c r="H10" i="5" s="1"/>
  <c r="H11" i="6"/>
  <c r="G11" i="6"/>
  <c r="F11" i="6"/>
  <c r="E11" i="6"/>
  <c r="C11" i="6"/>
  <c r="B11" i="6"/>
  <c r="H10" i="6"/>
  <c r="G10" i="6"/>
  <c r="F10" i="6"/>
  <c r="E10" i="6"/>
  <c r="C10" i="6"/>
  <c r="H9" i="6"/>
  <c r="G9" i="6"/>
  <c r="F9" i="6"/>
  <c r="E9" i="6"/>
  <c r="C9" i="6"/>
  <c r="B10" i="6"/>
  <c r="B9" i="6"/>
  <c r="R23" i="6"/>
  <c r="Q23" i="6"/>
  <c r="R18" i="6"/>
  <c r="Q18" i="6"/>
  <c r="R13" i="6"/>
  <c r="H13" i="5" l="1"/>
  <c r="H19" i="5"/>
  <c r="H69" i="5"/>
  <c r="H76" i="5"/>
  <c r="H81" i="5"/>
  <c r="H8" i="5"/>
  <c r="H67" i="5"/>
  <c r="H72" i="5"/>
  <c r="H78" i="5"/>
  <c r="H83" i="5"/>
  <c r="H9" i="5"/>
  <c r="H12" i="5"/>
  <c r="H15" i="5"/>
  <c r="H18" i="5"/>
  <c r="H20" i="5"/>
  <c r="H23" i="5"/>
  <c r="H68" i="5"/>
  <c r="H71" i="5"/>
  <c r="H74" i="5"/>
  <c r="H77" i="5"/>
  <c r="H79" i="5"/>
  <c r="H82" i="5"/>
  <c r="L90" i="8"/>
  <c r="R90" i="8" s="1"/>
  <c r="L152" i="8"/>
  <c r="E113" i="7" s="1"/>
  <c r="D428" i="8"/>
  <c r="N53" i="7" s="1"/>
  <c r="L114" i="8"/>
  <c r="R114" i="8" s="1"/>
  <c r="L142" i="8"/>
  <c r="E103" i="7" s="1"/>
  <c r="L150" i="8"/>
  <c r="E111" i="7" s="1"/>
  <c r="L203" i="8"/>
  <c r="G103" i="7" s="1"/>
  <c r="D275" i="8"/>
  <c r="I53" i="7" s="1"/>
  <c r="D291" i="8"/>
  <c r="J38" i="7" s="1"/>
  <c r="D327" i="8"/>
  <c r="K43" i="7" s="1"/>
  <c r="L104" i="8"/>
  <c r="D96" i="7" s="1"/>
  <c r="L116" i="8"/>
  <c r="R116" i="8" s="1"/>
  <c r="L140" i="8"/>
  <c r="E101" i="7" s="1"/>
  <c r="L167" i="8"/>
  <c r="F98" i="7" s="1"/>
  <c r="L177" i="8"/>
  <c r="F108" i="7" s="1"/>
  <c r="L201" i="8"/>
  <c r="G101" i="7" s="1"/>
  <c r="L211" i="8"/>
  <c r="G111" i="7" s="1"/>
  <c r="D239" i="8"/>
  <c r="M48" i="7" s="1"/>
  <c r="D322" i="8"/>
  <c r="Q322" i="8" s="1"/>
  <c r="D367" i="8"/>
  <c r="L53" i="7" s="1"/>
  <c r="L79" i="8"/>
  <c r="R79" i="8" s="1"/>
  <c r="L118" i="8"/>
  <c r="D110" i="7" s="1"/>
  <c r="L179" i="8"/>
  <c r="F110" i="7" s="1"/>
  <c r="D258" i="8"/>
  <c r="Q258" i="8" s="1"/>
  <c r="D294" i="8"/>
  <c r="J41" i="7" s="1"/>
  <c r="D299" i="8"/>
  <c r="J46" i="7" s="1"/>
  <c r="L80" i="8"/>
  <c r="R80" i="8" s="1"/>
  <c r="L88" i="8"/>
  <c r="R88" i="8" s="1"/>
  <c r="L106" i="8"/>
  <c r="D98" i="7" s="1"/>
  <c r="D234" i="8"/>
  <c r="M43" i="7" s="1"/>
  <c r="D270" i="8"/>
  <c r="Q270" i="8" s="1"/>
  <c r="D362" i="8"/>
  <c r="Q362" i="8" s="1"/>
  <c r="D331" i="8"/>
  <c r="K47" i="7" s="1"/>
  <c r="D393" i="8"/>
  <c r="P48" i="7" s="1"/>
  <c r="D87" i="8"/>
  <c r="Q87" i="8" s="1"/>
  <c r="D89" i="8"/>
  <c r="C52" i="7" s="1"/>
  <c r="D103" i="8"/>
  <c r="D35" i="7" s="1"/>
  <c r="D105" i="8"/>
  <c r="Q105" i="8" s="1"/>
  <c r="D113" i="8"/>
  <c r="Q113" i="8" s="1"/>
  <c r="D115" i="8"/>
  <c r="D47" i="7" s="1"/>
  <c r="D139" i="8"/>
  <c r="E40" i="7" s="1"/>
  <c r="D141" i="8"/>
  <c r="Q141" i="8" s="1"/>
  <c r="D149" i="8"/>
  <c r="E50" i="7" s="1"/>
  <c r="D151" i="8"/>
  <c r="E52" i="7" s="1"/>
  <c r="D164" i="8"/>
  <c r="F35" i="7" s="1"/>
  <c r="D166" i="8"/>
  <c r="F37" i="7" s="1"/>
  <c r="D174" i="8"/>
  <c r="F45" i="7" s="1"/>
  <c r="D176" i="8"/>
  <c r="F47" i="7" s="1"/>
  <c r="D200" i="8"/>
  <c r="G40" i="7" s="1"/>
  <c r="D202" i="8"/>
  <c r="G42" i="7" s="1"/>
  <c r="D210" i="8"/>
  <c r="G50" i="7" s="1"/>
  <c r="D212" i="8"/>
  <c r="G52" i="7" s="1"/>
  <c r="D231" i="8"/>
  <c r="Q231" i="8" s="1"/>
  <c r="D236" i="8"/>
  <c r="M45" i="7" s="1"/>
  <c r="D241" i="8"/>
  <c r="Q241" i="8" s="1"/>
  <c r="D257" i="8"/>
  <c r="I35" i="7" s="1"/>
  <c r="D267" i="8"/>
  <c r="Q267" i="8" s="1"/>
  <c r="D272" i="8"/>
  <c r="I50" i="7" s="1"/>
  <c r="D288" i="8"/>
  <c r="J35" i="7" s="1"/>
  <c r="D293" i="8"/>
  <c r="J40" i="7" s="1"/>
  <c r="D303" i="8"/>
  <c r="Q303" i="8" s="1"/>
  <c r="D319" i="8"/>
  <c r="K35" i="7" s="1"/>
  <c r="D324" i="8"/>
  <c r="K40" i="7" s="1"/>
  <c r="D329" i="8"/>
  <c r="K45" i="7" s="1"/>
  <c r="D349" i="8"/>
  <c r="Q349" i="8" s="1"/>
  <c r="D359" i="8"/>
  <c r="Q359" i="8" s="1"/>
  <c r="D364" i="8"/>
  <c r="L50" i="7" s="1"/>
  <c r="D415" i="8"/>
  <c r="N40" i="7" s="1"/>
  <c r="D420" i="8"/>
  <c r="Q420" i="8" s="1"/>
  <c r="D425" i="8"/>
  <c r="N50" i="7" s="1"/>
  <c r="D440" i="8"/>
  <c r="O35" i="7" s="1"/>
  <c r="D445" i="8"/>
  <c r="Q445" i="8" s="1"/>
  <c r="D450" i="8"/>
  <c r="O45" i="7" s="1"/>
  <c r="D455" i="8"/>
  <c r="Q455" i="8" s="1"/>
  <c r="L165" i="8"/>
  <c r="F96" i="7" s="1"/>
  <c r="L175" i="8"/>
  <c r="F106" i="7" s="1"/>
  <c r="L213" i="8"/>
  <c r="G113" i="7" s="1"/>
  <c r="D306" i="8"/>
  <c r="J53" i="7" s="1"/>
  <c r="D413" i="8"/>
  <c r="N38" i="7" s="1"/>
  <c r="D423" i="8"/>
  <c r="N48" i="7" s="1"/>
  <c r="D443" i="8"/>
  <c r="Q443" i="8" s="1"/>
  <c r="D453" i="8"/>
  <c r="O48" i="7" s="1"/>
  <c r="D458" i="8"/>
  <c r="Q458" i="8" s="1"/>
  <c r="D243" i="8"/>
  <c r="M52" i="7" s="1"/>
  <c r="D351" i="8"/>
  <c r="L37" i="7" s="1"/>
  <c r="H12" i="7"/>
  <c r="H17" i="7"/>
  <c r="H22" i="7"/>
  <c r="H66" i="7"/>
  <c r="H71" i="7"/>
  <c r="H76" i="7"/>
  <c r="H81" i="7"/>
  <c r="B7" i="7"/>
  <c r="B9" i="7"/>
  <c r="B12" i="7"/>
  <c r="B14" i="7"/>
  <c r="B17" i="7"/>
  <c r="B19" i="7"/>
  <c r="L58" i="8"/>
  <c r="B112" i="7" s="1"/>
  <c r="L72" i="8"/>
  <c r="R72" i="8" s="1"/>
  <c r="L82" i="8"/>
  <c r="C105" i="7" s="1"/>
  <c r="L84" i="8"/>
  <c r="R84" i="8" s="1"/>
  <c r="L108" i="8"/>
  <c r="D100" i="7" s="1"/>
  <c r="L110" i="8"/>
  <c r="R110" i="8" s="1"/>
  <c r="L120" i="8"/>
  <c r="D112" i="7" s="1"/>
  <c r="L134" i="8"/>
  <c r="R134" i="8" s="1"/>
  <c r="L136" i="8"/>
  <c r="R136" i="8" s="1"/>
  <c r="L144" i="8"/>
  <c r="R144" i="8" s="1"/>
  <c r="L146" i="8"/>
  <c r="E107" i="7" s="1"/>
  <c r="L169" i="8"/>
  <c r="F100" i="7" s="1"/>
  <c r="L171" i="8"/>
  <c r="F102" i="7" s="1"/>
  <c r="L181" i="8"/>
  <c r="F112" i="7" s="1"/>
  <c r="L195" i="8"/>
  <c r="G95" i="7" s="1"/>
  <c r="L197" i="8"/>
  <c r="G97" i="7" s="1"/>
  <c r="L205" i="8"/>
  <c r="G105" i="7" s="1"/>
  <c r="L207" i="8"/>
  <c r="G107" i="7" s="1"/>
  <c r="D227" i="8"/>
  <c r="M36" i="7" s="1"/>
  <c r="D242" i="8"/>
  <c r="M51" i="7" s="1"/>
  <c r="D259" i="8"/>
  <c r="I37" i="7" s="1"/>
  <c r="D263" i="8"/>
  <c r="I41" i="7" s="1"/>
  <c r="D295" i="8"/>
  <c r="Q295" i="8" s="1"/>
  <c r="D330" i="8"/>
  <c r="K46" i="7" s="1"/>
  <c r="D335" i="8"/>
  <c r="K51" i="7" s="1"/>
  <c r="D350" i="8"/>
  <c r="L36" i="7" s="1"/>
  <c r="D355" i="8"/>
  <c r="L41" i="7" s="1"/>
  <c r="D411" i="8"/>
  <c r="N36" i="7" s="1"/>
  <c r="D416" i="8"/>
  <c r="N41" i="7" s="1"/>
  <c r="D446" i="8"/>
  <c r="O41" i="7" s="1"/>
  <c r="K35" i="5"/>
  <c r="L75" i="8"/>
  <c r="R75" i="8" s="1"/>
  <c r="D83" i="8"/>
  <c r="C46" i="7" s="1"/>
  <c r="D85" i="8"/>
  <c r="Q85" i="8" s="1"/>
  <c r="L85" i="8"/>
  <c r="R85" i="8" s="1"/>
  <c r="D109" i="8"/>
  <c r="D41" i="7" s="1"/>
  <c r="D111" i="8"/>
  <c r="Q111" i="8" s="1"/>
  <c r="L111" i="8"/>
  <c r="D103" i="7" s="1"/>
  <c r="D119" i="8"/>
  <c r="Q119" i="8" s="1"/>
  <c r="D121" i="8"/>
  <c r="D53" i="7" s="1"/>
  <c r="L121" i="8"/>
  <c r="R121" i="8" s="1"/>
  <c r="D135" i="8"/>
  <c r="E36" i="7" s="1"/>
  <c r="D137" i="8"/>
  <c r="Q137" i="8" s="1"/>
  <c r="L137" i="8"/>
  <c r="R137" i="8" s="1"/>
  <c r="D145" i="8"/>
  <c r="Q145" i="8" s="1"/>
  <c r="D147" i="8"/>
  <c r="E48" i="7" s="1"/>
  <c r="L147" i="8"/>
  <c r="E108" i="7" s="1"/>
  <c r="D170" i="8"/>
  <c r="F41" i="7" s="1"/>
  <c r="D172" i="8"/>
  <c r="F43" i="7" s="1"/>
  <c r="L172" i="8"/>
  <c r="F103" i="7" s="1"/>
  <c r="D180" i="8"/>
  <c r="F51" i="7" s="1"/>
  <c r="D182" i="8"/>
  <c r="F53" i="7" s="1"/>
  <c r="L182" i="8"/>
  <c r="F113" i="7" s="1"/>
  <c r="D196" i="8"/>
  <c r="G36" i="7" s="1"/>
  <c r="D198" i="8"/>
  <c r="G38" i="7" s="1"/>
  <c r="L198" i="8"/>
  <c r="G98" i="7" s="1"/>
  <c r="D206" i="8"/>
  <c r="G46" i="7" s="1"/>
  <c r="D208" i="8"/>
  <c r="G48" i="7" s="1"/>
  <c r="L208" i="8"/>
  <c r="G108" i="7" s="1"/>
  <c r="D228" i="8"/>
  <c r="M37" i="7" s="1"/>
  <c r="D233" i="8"/>
  <c r="Q233" i="8" s="1"/>
  <c r="D244" i="8"/>
  <c r="Q244" i="8" s="1"/>
  <c r="D264" i="8"/>
  <c r="I42" i="7" s="1"/>
  <c r="D265" i="8"/>
  <c r="I43" i="7" s="1"/>
  <c r="D269" i="8"/>
  <c r="Q269" i="8" s="1"/>
  <c r="D296" i="8"/>
  <c r="Q296" i="8" s="1"/>
  <c r="D300" i="8"/>
  <c r="J47" i="7" s="1"/>
  <c r="D305" i="8"/>
  <c r="Q305" i="8" s="1"/>
  <c r="D321" i="8"/>
  <c r="K37" i="7" s="1"/>
  <c r="D336" i="8"/>
  <c r="K52" i="7" s="1"/>
  <c r="D337" i="8"/>
  <c r="K53" i="7" s="1"/>
  <c r="D356" i="8"/>
  <c r="L42" i="7" s="1"/>
  <c r="D357" i="8"/>
  <c r="L43" i="7" s="1"/>
  <c r="D361" i="8"/>
  <c r="L47" i="7" s="1"/>
  <c r="D412" i="8"/>
  <c r="Q412" i="8" s="1"/>
  <c r="D417" i="8"/>
  <c r="N42" i="7" s="1"/>
  <c r="D418" i="8"/>
  <c r="N43" i="7" s="1"/>
  <c r="D422" i="8"/>
  <c r="N47" i="7" s="1"/>
  <c r="D442" i="8"/>
  <c r="O37" i="7" s="1"/>
  <c r="D447" i="8"/>
  <c r="O42" i="7" s="1"/>
  <c r="D448" i="8"/>
  <c r="O43" i="7" s="1"/>
  <c r="D452" i="8"/>
  <c r="O47" i="7" s="1"/>
  <c r="D398" i="8"/>
  <c r="P53" i="7" s="1"/>
  <c r="L74" i="8"/>
  <c r="C97" i="7" s="1"/>
  <c r="L77" i="8"/>
  <c r="C100" i="7" s="1"/>
  <c r="L87" i="8"/>
  <c r="C110" i="7" s="1"/>
  <c r="L89" i="8"/>
  <c r="R89" i="8" s="1"/>
  <c r="L103" i="8"/>
  <c r="R103" i="8" s="1"/>
  <c r="L105" i="8"/>
  <c r="R105" i="8" s="1"/>
  <c r="L113" i="8"/>
  <c r="D105" i="7" s="1"/>
  <c r="L115" i="8"/>
  <c r="R115" i="8" s="1"/>
  <c r="L139" i="8"/>
  <c r="E100" i="7" s="1"/>
  <c r="L141" i="8"/>
  <c r="R141" i="8" s="1"/>
  <c r="L149" i="8"/>
  <c r="E110" i="7" s="1"/>
  <c r="L151" i="8"/>
  <c r="E112" i="7" s="1"/>
  <c r="L164" i="8"/>
  <c r="F95" i="7" s="1"/>
  <c r="L166" i="8"/>
  <c r="F97" i="7" s="1"/>
  <c r="L174" i="8"/>
  <c r="F105" i="7" s="1"/>
  <c r="L176" i="8"/>
  <c r="F107" i="7" s="1"/>
  <c r="L200" i="8"/>
  <c r="G100" i="7" s="1"/>
  <c r="L202" i="8"/>
  <c r="G102" i="7" s="1"/>
  <c r="L210" i="8"/>
  <c r="G110" i="7" s="1"/>
  <c r="L212" i="8"/>
  <c r="G112" i="7" s="1"/>
  <c r="D232" i="8"/>
  <c r="Q232" i="8" s="1"/>
  <c r="D237" i="8"/>
  <c r="M46" i="7" s="1"/>
  <c r="D268" i="8"/>
  <c r="Q268" i="8" s="1"/>
  <c r="D273" i="8"/>
  <c r="I51" i="7" s="1"/>
  <c r="D289" i="8"/>
  <c r="J36" i="7" s="1"/>
  <c r="D304" i="8"/>
  <c r="Q304" i="8" s="1"/>
  <c r="D320" i="8"/>
  <c r="K36" i="7" s="1"/>
  <c r="D325" i="8"/>
  <c r="K41" i="7" s="1"/>
  <c r="D360" i="8"/>
  <c r="Q360" i="8" s="1"/>
  <c r="D365" i="8"/>
  <c r="L51" i="7" s="1"/>
  <c r="D421" i="8"/>
  <c r="N46" i="7" s="1"/>
  <c r="D426" i="8"/>
  <c r="N51" i="7" s="1"/>
  <c r="D441" i="8"/>
  <c r="O36" i="7" s="1"/>
  <c r="D451" i="8"/>
  <c r="O46" i="7" s="1"/>
  <c r="D456" i="8"/>
  <c r="Q456" i="8" s="1"/>
  <c r="D396" i="8"/>
  <c r="P51" i="7" s="1"/>
  <c r="H9" i="7"/>
  <c r="H19" i="7"/>
  <c r="H68" i="7"/>
  <c r="H78" i="7"/>
  <c r="B8" i="7"/>
  <c r="B13" i="7"/>
  <c r="B18" i="7"/>
  <c r="L78" i="8"/>
  <c r="C101" i="7" s="1"/>
  <c r="L83" i="8"/>
  <c r="C106" i="7" s="1"/>
  <c r="L109" i="8"/>
  <c r="R109" i="8" s="1"/>
  <c r="L119" i="8"/>
  <c r="R119" i="8" s="1"/>
  <c r="L135" i="8"/>
  <c r="E96" i="7" s="1"/>
  <c r="L145" i="8"/>
  <c r="R145" i="8" s="1"/>
  <c r="L170" i="8"/>
  <c r="F101" i="7" s="1"/>
  <c r="L180" i="8"/>
  <c r="F111" i="7" s="1"/>
  <c r="L196" i="8"/>
  <c r="G96" i="7" s="1"/>
  <c r="L206" i="8"/>
  <c r="G106" i="7" s="1"/>
  <c r="D229" i="8"/>
  <c r="M38" i="7" s="1"/>
  <c r="D260" i="8"/>
  <c r="Q260" i="8" s="1"/>
  <c r="D301" i="8"/>
  <c r="J48" i="7" s="1"/>
  <c r="D332" i="8"/>
  <c r="Q332" i="8" s="1"/>
  <c r="D352" i="8"/>
  <c r="L38" i="7" s="1"/>
  <c r="D90" i="8"/>
  <c r="Q90" i="8" s="1"/>
  <c r="D106" i="8"/>
  <c r="Q106" i="8" s="1"/>
  <c r="D116" i="8"/>
  <c r="Q116" i="8" s="1"/>
  <c r="D142" i="8"/>
  <c r="E43" i="7" s="1"/>
  <c r="D152" i="8"/>
  <c r="E53" i="7" s="1"/>
  <c r="D167" i="8"/>
  <c r="F38" i="7" s="1"/>
  <c r="D177" i="8"/>
  <c r="F48" i="7" s="1"/>
  <c r="D203" i="8"/>
  <c r="G43" i="7" s="1"/>
  <c r="D213" i="8"/>
  <c r="G53" i="7" s="1"/>
  <c r="D274" i="8"/>
  <c r="I52" i="7" s="1"/>
  <c r="D326" i="8"/>
  <c r="K42" i="7" s="1"/>
  <c r="D366" i="8"/>
  <c r="L52" i="7" s="1"/>
  <c r="D427" i="8"/>
  <c r="N52" i="7" s="1"/>
  <c r="D457" i="8"/>
  <c r="Q457" i="8" s="1"/>
  <c r="D388" i="8"/>
  <c r="P43" i="7" s="1"/>
  <c r="D84" i="8"/>
  <c r="Q84" i="8" s="1"/>
  <c r="D110" i="8"/>
  <c r="D42" i="7" s="1"/>
  <c r="D120" i="8"/>
  <c r="D52" i="7" s="1"/>
  <c r="D136" i="8"/>
  <c r="E37" i="7" s="1"/>
  <c r="D146" i="8"/>
  <c r="E47" i="7" s="1"/>
  <c r="D171" i="8"/>
  <c r="F42" i="7" s="1"/>
  <c r="D181" i="8"/>
  <c r="F52" i="7" s="1"/>
  <c r="D197" i="8"/>
  <c r="G37" i="7" s="1"/>
  <c r="D207" i="8"/>
  <c r="G47" i="7" s="1"/>
  <c r="D262" i="8"/>
  <c r="I40" i="7" s="1"/>
  <c r="D334" i="8"/>
  <c r="K50" i="7" s="1"/>
  <c r="D354" i="8"/>
  <c r="L40" i="7" s="1"/>
  <c r="D88" i="8"/>
  <c r="C51" i="7" s="1"/>
  <c r="D104" i="8"/>
  <c r="Q104" i="8" s="1"/>
  <c r="D114" i="8"/>
  <c r="D46" i="7" s="1"/>
  <c r="D140" i="8"/>
  <c r="E41" i="7" s="1"/>
  <c r="D150" i="8"/>
  <c r="E51" i="7" s="1"/>
  <c r="D165" i="8"/>
  <c r="F36" i="7" s="1"/>
  <c r="D175" i="8"/>
  <c r="F46" i="7" s="1"/>
  <c r="D201" i="8"/>
  <c r="G41" i="7" s="1"/>
  <c r="D211" i="8"/>
  <c r="G51" i="7" s="1"/>
  <c r="D238" i="8"/>
  <c r="M47" i="7" s="1"/>
  <c r="D290" i="8"/>
  <c r="J37" i="7" s="1"/>
  <c r="D410" i="8"/>
  <c r="N35" i="7" s="1"/>
  <c r="D82" i="8"/>
  <c r="Q82" i="8" s="1"/>
  <c r="D108" i="8"/>
  <c r="Q108" i="8" s="1"/>
  <c r="D118" i="8"/>
  <c r="Q118" i="8" s="1"/>
  <c r="D134" i="8"/>
  <c r="Q134" i="8" s="1"/>
  <c r="D144" i="8"/>
  <c r="Q144" i="8" s="1"/>
  <c r="D169" i="8"/>
  <c r="F40" i="7" s="1"/>
  <c r="D179" i="8"/>
  <c r="F50" i="7" s="1"/>
  <c r="D195" i="8"/>
  <c r="G35" i="7" s="1"/>
  <c r="D205" i="8"/>
  <c r="G45" i="7" s="1"/>
  <c r="D226" i="8"/>
  <c r="M35" i="7" s="1"/>
  <c r="D298" i="8"/>
  <c r="J45" i="7" s="1"/>
  <c r="D391" i="8"/>
  <c r="P46" i="7" s="1"/>
  <c r="L35" i="5"/>
  <c r="H14" i="7"/>
  <c r="H24" i="7"/>
  <c r="H73" i="7"/>
  <c r="H83" i="7"/>
  <c r="B10" i="7"/>
  <c r="B15" i="7"/>
  <c r="B20" i="7"/>
  <c r="D11" i="8"/>
  <c r="H37" i="7" s="1"/>
  <c r="D16" i="8"/>
  <c r="H42" i="7" s="1"/>
  <c r="D21" i="8"/>
  <c r="Q21" i="8" s="1"/>
  <c r="H23" i="7"/>
  <c r="H67" i="7"/>
  <c r="L16" i="8"/>
  <c r="H102" i="7" s="1"/>
  <c r="H77" i="7"/>
  <c r="H82" i="7"/>
  <c r="B66" i="7"/>
  <c r="B68" i="7"/>
  <c r="D47" i="8"/>
  <c r="B73" i="7"/>
  <c r="D52" i="8"/>
  <c r="B46" i="7" s="1"/>
  <c r="B78" i="7"/>
  <c r="D392" i="8"/>
  <c r="Q392" i="8" s="1"/>
  <c r="D397" i="8"/>
  <c r="P52" i="7" s="1"/>
  <c r="H13" i="7"/>
  <c r="H18" i="7"/>
  <c r="D26" i="8"/>
  <c r="L11" i="8"/>
  <c r="H97" i="7" s="1"/>
  <c r="H72" i="7"/>
  <c r="L21" i="8"/>
  <c r="L26" i="8"/>
  <c r="R26" i="8" s="1"/>
  <c r="D42" i="8"/>
  <c r="D44" i="8"/>
  <c r="B71" i="7"/>
  <c r="D49" i="8"/>
  <c r="B43" i="7" s="1"/>
  <c r="B76" i="7"/>
  <c r="D54" i="8"/>
  <c r="Q54" i="8" s="1"/>
  <c r="H7" i="5"/>
  <c r="D9" i="8"/>
  <c r="Q9" i="8" s="1"/>
  <c r="D12" i="8"/>
  <c r="H38" i="7" s="1"/>
  <c r="D17" i="8"/>
  <c r="H43" i="7" s="1"/>
  <c r="D22" i="8"/>
  <c r="D27" i="8"/>
  <c r="Q27" i="8" s="1"/>
  <c r="L12" i="8"/>
  <c r="H98" i="7" s="1"/>
  <c r="L17" i="8"/>
  <c r="R17" i="8" s="1"/>
  <c r="L22" i="8"/>
  <c r="L27" i="8"/>
  <c r="L42" i="8"/>
  <c r="L44" i="8"/>
  <c r="L47" i="8"/>
  <c r="L49" i="8"/>
  <c r="B103" i="7" s="1"/>
  <c r="L52" i="8"/>
  <c r="R52" i="8" s="1"/>
  <c r="L54" i="8"/>
  <c r="B108" i="7" s="1"/>
  <c r="H10" i="7"/>
  <c r="H15" i="7"/>
  <c r="H20" i="7"/>
  <c r="H25" i="7"/>
  <c r="L14" i="8"/>
  <c r="H100" i="7" s="1"/>
  <c r="H74" i="7"/>
  <c r="H79" i="7"/>
  <c r="H84" i="7"/>
  <c r="B67" i="7"/>
  <c r="B69" i="7"/>
  <c r="B72" i="7"/>
  <c r="B74" i="7"/>
  <c r="B77" i="7"/>
  <c r="B79" i="7"/>
  <c r="H8" i="7"/>
  <c r="D395" i="8"/>
  <c r="P50" i="7" s="1"/>
  <c r="D14" i="8"/>
  <c r="H40" i="7" s="1"/>
  <c r="D19" i="8"/>
  <c r="Q19" i="8" s="1"/>
  <c r="D24" i="8"/>
  <c r="L9" i="8"/>
  <c r="R9" i="8" s="1"/>
  <c r="H69" i="7"/>
  <c r="L19" i="8"/>
  <c r="H105" i="7" s="1"/>
  <c r="L24" i="8"/>
  <c r="D41" i="8"/>
  <c r="D43" i="8"/>
  <c r="D46" i="8"/>
  <c r="D48" i="8"/>
  <c r="D51" i="8"/>
  <c r="Q51" i="8" s="1"/>
  <c r="D53" i="8"/>
  <c r="B47" i="7" s="1"/>
  <c r="H7" i="7"/>
  <c r="D10" i="8"/>
  <c r="H36" i="7" s="1"/>
  <c r="D15" i="8"/>
  <c r="H41" i="7" s="1"/>
  <c r="D20" i="8"/>
  <c r="H46" i="7" s="1"/>
  <c r="D25" i="8"/>
  <c r="Q25" i="8" s="1"/>
  <c r="L10" i="8"/>
  <c r="R10" i="8" s="1"/>
  <c r="L15" i="8"/>
  <c r="H101" i="7" s="1"/>
  <c r="L20" i="8"/>
  <c r="H106" i="7" s="1"/>
  <c r="L25" i="8"/>
  <c r="R25" i="8" s="1"/>
  <c r="L41" i="8"/>
  <c r="L43" i="8"/>
  <c r="L46" i="8"/>
  <c r="L48" i="8"/>
  <c r="R48" i="8" s="1"/>
  <c r="L51" i="8"/>
  <c r="B105" i="7" s="1"/>
  <c r="L53" i="8"/>
  <c r="B107" i="7" s="1"/>
  <c r="B22" i="7"/>
  <c r="D56" i="8"/>
  <c r="B50" i="7" s="1"/>
  <c r="B81" i="7"/>
  <c r="L56" i="8"/>
  <c r="B110" i="7" s="1"/>
  <c r="B23" i="7"/>
  <c r="D57" i="8"/>
  <c r="Q57" i="8" s="1"/>
  <c r="B82" i="7"/>
  <c r="L57" i="8"/>
  <c r="R57" i="8" s="1"/>
  <c r="B24" i="7"/>
  <c r="D58" i="8"/>
  <c r="Q58" i="8" s="1"/>
  <c r="B83" i="7"/>
  <c r="B25" i="7"/>
  <c r="D59" i="8"/>
  <c r="B53" i="7" s="1"/>
  <c r="B84" i="7"/>
  <c r="L59" i="8"/>
  <c r="B113" i="7" s="1"/>
  <c r="C7" i="7"/>
  <c r="D72" i="8"/>
  <c r="Q72" i="8" s="1"/>
  <c r="C66" i="7"/>
  <c r="C8" i="7"/>
  <c r="D73" i="8"/>
  <c r="Q73" i="8" s="1"/>
  <c r="C67" i="7"/>
  <c r="L73" i="8"/>
  <c r="C96" i="7" s="1"/>
  <c r="C9" i="7"/>
  <c r="D74" i="8"/>
  <c r="Q74" i="8" s="1"/>
  <c r="C68" i="7"/>
  <c r="C10" i="7"/>
  <c r="D75" i="8"/>
  <c r="C38" i="7" s="1"/>
  <c r="C69" i="7"/>
  <c r="C12" i="7"/>
  <c r="D77" i="8"/>
  <c r="C40" i="7" s="1"/>
  <c r="C71" i="7"/>
  <c r="C13" i="7"/>
  <c r="D78" i="8"/>
  <c r="Q78" i="8" s="1"/>
  <c r="C72" i="7"/>
  <c r="C14" i="7"/>
  <c r="D79" i="8"/>
  <c r="Q79" i="8" s="1"/>
  <c r="C73" i="7"/>
  <c r="C15" i="7"/>
  <c r="D80" i="8"/>
  <c r="Q80" i="8" s="1"/>
  <c r="C74" i="7"/>
  <c r="C17" i="7"/>
  <c r="C76" i="7"/>
  <c r="C18" i="7"/>
  <c r="C77" i="7"/>
  <c r="C19" i="7"/>
  <c r="C78" i="7"/>
  <c r="C20" i="7"/>
  <c r="C79" i="7"/>
  <c r="C22" i="7"/>
  <c r="C81" i="7"/>
  <c r="C23" i="7"/>
  <c r="C82" i="7"/>
  <c r="C24" i="7"/>
  <c r="C83" i="7"/>
  <c r="C25" i="7"/>
  <c r="C84" i="7"/>
  <c r="D7" i="7"/>
  <c r="D66" i="7"/>
  <c r="D8" i="7"/>
  <c r="D67" i="7"/>
  <c r="D9" i="7"/>
  <c r="D68" i="7"/>
  <c r="D10" i="7"/>
  <c r="D69" i="7"/>
  <c r="D12" i="7"/>
  <c r="D71" i="7"/>
  <c r="D13" i="7"/>
  <c r="D72" i="7"/>
  <c r="D14" i="7"/>
  <c r="D73" i="7"/>
  <c r="D15" i="7"/>
  <c r="D74" i="7"/>
  <c r="D17" i="7"/>
  <c r="D76" i="7"/>
  <c r="D18" i="7"/>
  <c r="D77" i="7"/>
  <c r="D19" i="7"/>
  <c r="D78" i="7"/>
  <c r="D20" i="7"/>
  <c r="D79" i="7"/>
  <c r="D22" i="7"/>
  <c r="D81" i="7"/>
  <c r="D23" i="7"/>
  <c r="D82" i="7"/>
  <c r="D24" i="7"/>
  <c r="D83" i="7"/>
  <c r="D25" i="7"/>
  <c r="D84" i="7"/>
  <c r="P19" i="7"/>
  <c r="P20" i="7"/>
  <c r="P22" i="7"/>
  <c r="P23" i="7"/>
  <c r="D387" i="8"/>
  <c r="P42" i="7" s="1"/>
  <c r="D390" i="8"/>
  <c r="P45" i="7" s="1"/>
  <c r="E7" i="7"/>
  <c r="E66" i="7"/>
  <c r="E8" i="7"/>
  <c r="E67" i="7"/>
  <c r="E9" i="7"/>
  <c r="E68" i="7"/>
  <c r="E10" i="7"/>
  <c r="E69" i="7"/>
  <c r="E12" i="7"/>
  <c r="E71" i="7"/>
  <c r="E13" i="7"/>
  <c r="E72" i="7"/>
  <c r="E14" i="7"/>
  <c r="E73" i="7"/>
  <c r="E15" i="7"/>
  <c r="E74" i="7"/>
  <c r="E17" i="7"/>
  <c r="E76" i="7"/>
  <c r="E18" i="7"/>
  <c r="E77" i="7"/>
  <c r="E19" i="7"/>
  <c r="E20" i="7"/>
  <c r="E22" i="7"/>
  <c r="E23" i="7"/>
  <c r="E24" i="7"/>
  <c r="E25" i="7"/>
  <c r="F7" i="7"/>
  <c r="F8" i="7"/>
  <c r="F9" i="7"/>
  <c r="F10" i="7"/>
  <c r="F12" i="7"/>
  <c r="F13" i="7"/>
  <c r="F14" i="7"/>
  <c r="F15" i="7"/>
  <c r="F17" i="7"/>
  <c r="F18" i="7"/>
  <c r="F19" i="7"/>
  <c r="F20" i="7"/>
  <c r="F22" i="7"/>
  <c r="F23" i="7"/>
  <c r="F24" i="7"/>
  <c r="F25" i="7"/>
  <c r="G8" i="7"/>
  <c r="G9" i="7"/>
  <c r="G10" i="7"/>
  <c r="G12" i="7"/>
  <c r="G13" i="7"/>
  <c r="G14" i="7"/>
  <c r="G15" i="7"/>
  <c r="G17" i="7"/>
  <c r="G18" i="7"/>
  <c r="G19" i="7"/>
  <c r="G20" i="7"/>
  <c r="G22" i="7"/>
  <c r="G23" i="7"/>
  <c r="G24" i="7"/>
  <c r="G25" i="7"/>
  <c r="M8" i="7"/>
  <c r="M9" i="7"/>
  <c r="M10" i="7"/>
  <c r="M12" i="7"/>
  <c r="M13" i="7"/>
  <c r="M14" i="7"/>
  <c r="M15" i="7"/>
  <c r="M17" i="7"/>
  <c r="M18" i="7"/>
  <c r="M19" i="7"/>
  <c r="M20" i="7"/>
  <c r="M22" i="7"/>
  <c r="M23" i="7"/>
  <c r="M24" i="7"/>
  <c r="M25" i="7"/>
  <c r="I8" i="7"/>
  <c r="I9" i="7"/>
  <c r="I10" i="7"/>
  <c r="I12" i="7"/>
  <c r="I13" i="7"/>
  <c r="I14" i="7"/>
  <c r="I15" i="7"/>
  <c r="I17" i="7"/>
  <c r="I18" i="7"/>
  <c r="I19" i="7"/>
  <c r="I20" i="7"/>
  <c r="I22" i="7"/>
  <c r="I23" i="7"/>
  <c r="I24" i="7"/>
  <c r="I25" i="7"/>
  <c r="J8" i="7"/>
  <c r="J9" i="7"/>
  <c r="J10" i="7"/>
  <c r="J12" i="7"/>
  <c r="J13" i="7"/>
  <c r="J14" i="7"/>
  <c r="J15" i="7"/>
  <c r="J17" i="7"/>
  <c r="J18" i="7"/>
  <c r="J19" i="7"/>
  <c r="J22" i="7"/>
  <c r="J23" i="7"/>
  <c r="P7" i="7"/>
  <c r="D380" i="8"/>
  <c r="P35" i="7" s="1"/>
  <c r="P8" i="7"/>
  <c r="D381" i="8"/>
  <c r="P36" i="7" s="1"/>
  <c r="P9" i="7"/>
  <c r="D382" i="8"/>
  <c r="Q382" i="8" s="1"/>
  <c r="P10" i="7"/>
  <c r="D383" i="8"/>
  <c r="P12" i="7"/>
  <c r="D385" i="8"/>
  <c r="P40" i="7" s="1"/>
  <c r="P13" i="7"/>
  <c r="D386" i="8"/>
  <c r="P41" i="7" s="1"/>
  <c r="P14" i="7"/>
  <c r="P15" i="7"/>
  <c r="P17" i="7"/>
  <c r="D9" i="6"/>
  <c r="H35" i="5" s="1"/>
  <c r="L17" i="6"/>
  <c r="H103" i="5" s="1"/>
  <c r="C95" i="5"/>
  <c r="D95" i="5"/>
  <c r="D96" i="5"/>
  <c r="E35" i="5"/>
  <c r="P18" i="7"/>
  <c r="D11" i="6"/>
  <c r="D21" i="6"/>
  <c r="H47" i="5" s="1"/>
  <c r="D24" i="6"/>
  <c r="H50" i="5" s="1"/>
  <c r="L15" i="6"/>
  <c r="H101" i="5" s="1"/>
  <c r="C35" i="5"/>
  <c r="C96" i="5"/>
  <c r="E95" i="5"/>
  <c r="E96" i="5"/>
  <c r="F95" i="5"/>
  <c r="F96" i="5"/>
  <c r="D26" i="6"/>
  <c r="H52" i="5" s="1"/>
  <c r="B35" i="5"/>
  <c r="D35" i="5"/>
  <c r="I35" i="5"/>
  <c r="L26" i="6"/>
  <c r="H112" i="5" s="1"/>
  <c r="D25" i="6"/>
  <c r="H51" i="5" s="1"/>
  <c r="L25" i="6"/>
  <c r="H111" i="5" s="1"/>
  <c r="L24" i="6"/>
  <c r="H110" i="5" s="1"/>
  <c r="D22" i="6"/>
  <c r="H48" i="5" s="1"/>
  <c r="L22" i="6"/>
  <c r="H108" i="5" s="1"/>
  <c r="J20" i="7"/>
  <c r="L21" i="6"/>
  <c r="H107" i="5" s="1"/>
  <c r="D20" i="6"/>
  <c r="H46" i="5" s="1"/>
  <c r="L20" i="6"/>
  <c r="H106" i="5" s="1"/>
  <c r="D19" i="6"/>
  <c r="H45" i="5" s="1"/>
  <c r="L19" i="6"/>
  <c r="H105" i="5" s="1"/>
  <c r="D17" i="6"/>
  <c r="H43" i="5" s="1"/>
  <c r="D15" i="6"/>
  <c r="H41" i="5" s="1"/>
  <c r="D14" i="6"/>
  <c r="H40" i="5" s="1"/>
  <c r="L14" i="6"/>
  <c r="H100" i="5" s="1"/>
  <c r="D12" i="6"/>
  <c r="L12" i="6"/>
  <c r="L11" i="6"/>
  <c r="H97" i="5" s="1"/>
  <c r="D10" i="6"/>
  <c r="H36" i="5" s="1"/>
  <c r="L10" i="6"/>
  <c r="R10" i="6" s="1"/>
  <c r="B96" i="5"/>
  <c r="L9" i="6"/>
  <c r="H95" i="5" s="1"/>
  <c r="B95" i="5"/>
  <c r="G7" i="7"/>
  <c r="M7" i="7"/>
  <c r="I7" i="7"/>
  <c r="J7" i="7"/>
  <c r="J24" i="7"/>
  <c r="J25" i="7"/>
  <c r="K7" i="7"/>
  <c r="K8" i="7"/>
  <c r="K9" i="7"/>
  <c r="K10" i="7"/>
  <c r="K12" i="7"/>
  <c r="K13" i="7"/>
  <c r="K14" i="7"/>
  <c r="K15" i="7"/>
  <c r="K17" i="7"/>
  <c r="K18" i="7"/>
  <c r="K19" i="7"/>
  <c r="K20" i="7"/>
  <c r="K22" i="7"/>
  <c r="K23" i="7"/>
  <c r="K24" i="7"/>
  <c r="K25" i="7"/>
  <c r="L7" i="7"/>
  <c r="L8" i="7"/>
  <c r="L9" i="7"/>
  <c r="L10" i="7"/>
  <c r="L12" i="7"/>
  <c r="L13" i="7"/>
  <c r="L14" i="7"/>
  <c r="L15" i="7"/>
  <c r="L17" i="7"/>
  <c r="L18" i="7"/>
  <c r="L19" i="7"/>
  <c r="L20" i="7"/>
  <c r="L22" i="7"/>
  <c r="L23" i="7"/>
  <c r="L24" i="7"/>
  <c r="L25" i="7"/>
  <c r="N7" i="7"/>
  <c r="N8" i="7"/>
  <c r="N9" i="7"/>
  <c r="N10" i="7"/>
  <c r="N12" i="7"/>
  <c r="N13" i="7"/>
  <c r="N14" i="7"/>
  <c r="N15" i="7"/>
  <c r="N17" i="7"/>
  <c r="N18" i="7"/>
  <c r="N19" i="7"/>
  <c r="N20" i="7"/>
  <c r="N22" i="7"/>
  <c r="N23" i="7"/>
  <c r="N24" i="7"/>
  <c r="O7" i="7"/>
  <c r="O9" i="7"/>
  <c r="O15" i="7"/>
  <c r="O17" i="7"/>
  <c r="O19" i="7"/>
  <c r="O23" i="7"/>
  <c r="O25" i="7"/>
  <c r="O13" i="7"/>
  <c r="H66" i="5"/>
  <c r="B7" i="5"/>
  <c r="B66" i="5"/>
  <c r="C7" i="5"/>
  <c r="C66" i="5"/>
  <c r="D7" i="5"/>
  <c r="D66" i="5"/>
  <c r="E7" i="5"/>
  <c r="E66" i="5"/>
  <c r="F7" i="5"/>
  <c r="F66" i="5"/>
  <c r="P24" i="7"/>
  <c r="G7" i="5"/>
  <c r="G66" i="5"/>
  <c r="M7" i="5"/>
  <c r="I7" i="5"/>
  <c r="J7" i="5"/>
  <c r="K7" i="5"/>
  <c r="L7" i="5"/>
  <c r="N7" i="5"/>
  <c r="O7" i="5"/>
  <c r="P7" i="5"/>
  <c r="P25" i="7"/>
  <c r="E78" i="7"/>
  <c r="E79" i="7"/>
  <c r="E81" i="7"/>
  <c r="E82" i="7"/>
  <c r="E83" i="7"/>
  <c r="E84" i="7"/>
  <c r="F66" i="7"/>
  <c r="F67" i="7"/>
  <c r="F68" i="7"/>
  <c r="F69" i="7"/>
  <c r="F71" i="7"/>
  <c r="F72" i="7"/>
  <c r="F73" i="7"/>
  <c r="F74" i="7"/>
  <c r="F76" i="7"/>
  <c r="F77" i="7"/>
  <c r="F78" i="7"/>
  <c r="F79" i="7"/>
  <c r="F81" i="7"/>
  <c r="F82" i="7"/>
  <c r="F83" i="7"/>
  <c r="F84" i="7"/>
  <c r="G66" i="7"/>
  <c r="G67" i="7"/>
  <c r="G68" i="7"/>
  <c r="G69" i="7"/>
  <c r="G71" i="7"/>
  <c r="G72" i="7"/>
  <c r="G73" i="7"/>
  <c r="G74" i="7"/>
  <c r="G76" i="7"/>
  <c r="G77" i="7"/>
  <c r="G78" i="7"/>
  <c r="G79" i="7"/>
  <c r="G81" i="7"/>
  <c r="G82" i="7"/>
  <c r="G83" i="7"/>
  <c r="G84" i="7"/>
  <c r="N25" i="7"/>
  <c r="O8" i="7"/>
  <c r="O10" i="7"/>
  <c r="O12" i="7"/>
  <c r="O14" i="7"/>
  <c r="O18" i="7"/>
  <c r="O20" i="7"/>
  <c r="O22" i="7"/>
  <c r="O24" i="7"/>
  <c r="Q13" i="6"/>
  <c r="Q139" i="8" l="1"/>
  <c r="L35" i="7"/>
  <c r="C103" i="7"/>
  <c r="E46" i="7"/>
  <c r="D108" i="7"/>
  <c r="Q11" i="6"/>
  <c r="H37" i="5"/>
  <c r="R12" i="6"/>
  <c r="H98" i="5"/>
  <c r="Q12" i="6"/>
  <c r="H38" i="5"/>
  <c r="Q38" i="5" s="1"/>
  <c r="D106" i="7"/>
  <c r="Q196" i="8"/>
  <c r="R118" i="8"/>
  <c r="Q234" i="8"/>
  <c r="R177" i="8"/>
  <c r="R175" i="8"/>
  <c r="Q293" i="8"/>
  <c r="R203" i="8"/>
  <c r="R152" i="8"/>
  <c r="Q151" i="8"/>
  <c r="Q120" i="8"/>
  <c r="Q89" i="8"/>
  <c r="R108" i="8"/>
  <c r="C42" i="7"/>
  <c r="O38" i="7"/>
  <c r="S50" i="5"/>
  <c r="E38" i="7"/>
  <c r="Q416" i="8"/>
  <c r="Q450" i="8"/>
  <c r="D51" i="7"/>
  <c r="I45" i="7"/>
  <c r="R171" i="8"/>
  <c r="Q114" i="8"/>
  <c r="R113" i="8"/>
  <c r="Q393" i="8"/>
  <c r="Q367" i="8"/>
  <c r="Q259" i="8"/>
  <c r="R106" i="8"/>
  <c r="Q200" i="8"/>
  <c r="R52" i="5"/>
  <c r="Q397" i="8"/>
  <c r="Q20" i="8"/>
  <c r="R120" i="8"/>
  <c r="S40" i="5"/>
  <c r="Q442" i="8"/>
  <c r="Q52" i="8"/>
  <c r="Q319" i="8"/>
  <c r="Q264" i="8"/>
  <c r="C113" i="7"/>
  <c r="O53" i="7"/>
  <c r="Q11" i="8"/>
  <c r="Q306" i="8"/>
  <c r="I36" i="7"/>
  <c r="J42" i="7"/>
  <c r="Q364" i="8"/>
  <c r="R207" i="8"/>
  <c r="Q146" i="8"/>
  <c r="R87" i="8"/>
  <c r="D97" i="7"/>
  <c r="Q202" i="8"/>
  <c r="Q453" i="8"/>
  <c r="R146" i="8"/>
  <c r="N45" i="7"/>
  <c r="Q355" i="8"/>
  <c r="Q237" i="8"/>
  <c r="R142" i="8"/>
  <c r="R205" i="8"/>
  <c r="R166" i="8"/>
  <c r="Q142" i="8"/>
  <c r="J50" i="7"/>
  <c r="D95" i="7"/>
  <c r="R73" i="8"/>
  <c r="Q356" i="8"/>
  <c r="B51" i="7"/>
  <c r="M40" i="7"/>
  <c r="R40" i="5" s="1"/>
  <c r="R20" i="8"/>
  <c r="S43" i="5"/>
  <c r="O50" i="7"/>
  <c r="Q197" i="8"/>
  <c r="D40" i="7"/>
  <c r="C98" i="7"/>
  <c r="Q226" i="8"/>
  <c r="Q195" i="8"/>
  <c r="Q427" i="8"/>
  <c r="Q440" i="8"/>
  <c r="L45" i="7"/>
  <c r="R181" i="8"/>
  <c r="Q257" i="8"/>
  <c r="C112" i="7"/>
  <c r="Q263" i="8"/>
  <c r="D38" i="7"/>
  <c r="M50" i="7"/>
  <c r="R50" i="5" s="1"/>
  <c r="C111" i="7"/>
  <c r="Q213" i="8"/>
  <c r="Q198" i="8"/>
  <c r="Q174" i="8"/>
  <c r="C107" i="7"/>
  <c r="Q390" i="8"/>
  <c r="Q77" i="8"/>
  <c r="R104" i="8"/>
  <c r="R82" i="8"/>
  <c r="R19" i="8"/>
  <c r="J43" i="7"/>
  <c r="Q337" i="8"/>
  <c r="O51" i="7"/>
  <c r="Q294" i="8"/>
  <c r="E42" i="7"/>
  <c r="D45" i="7"/>
  <c r="R140" i="8"/>
  <c r="R201" i="8"/>
  <c r="Q150" i="8"/>
  <c r="R43" i="5"/>
  <c r="Q324" i="8"/>
  <c r="H111" i="7"/>
  <c r="D102" i="7"/>
  <c r="Q201" i="8"/>
  <c r="Q177" i="8"/>
  <c r="R147" i="8"/>
  <c r="Q299" i="8"/>
  <c r="Q331" i="8"/>
  <c r="Q169" i="8"/>
  <c r="Q398" i="8"/>
  <c r="Q327" i="8"/>
  <c r="K38" i="7"/>
  <c r="Q242" i="8"/>
  <c r="Q115" i="8"/>
  <c r="Q103" i="8"/>
  <c r="Q423" i="8"/>
  <c r="Q329" i="8"/>
  <c r="Q227" i="8"/>
  <c r="R135" i="8"/>
  <c r="H96" i="7"/>
  <c r="Q208" i="8"/>
  <c r="R176" i="8"/>
  <c r="S52" i="5"/>
  <c r="R169" i="8"/>
  <c r="O40" i="7"/>
  <c r="L46" i="7"/>
  <c r="I48" i="7"/>
  <c r="E97" i="7"/>
  <c r="Q22" i="6"/>
  <c r="Q325" i="8"/>
  <c r="Q239" i="8"/>
  <c r="C108" i="7"/>
  <c r="Q176" i="8"/>
  <c r="Q164" i="8"/>
  <c r="Q301" i="8"/>
  <c r="R111" i="8"/>
  <c r="O35" i="5"/>
  <c r="N37" i="7"/>
  <c r="Q428" i="8"/>
  <c r="Q300" i="8"/>
  <c r="Q422" i="8"/>
  <c r="D43" i="7"/>
  <c r="R58" i="8"/>
  <c r="N35" i="5"/>
  <c r="M35" i="5"/>
  <c r="R35" i="5" s="1"/>
  <c r="R182" i="8"/>
  <c r="Q413" i="8"/>
  <c r="Q426" i="8"/>
  <c r="Q273" i="8"/>
  <c r="D107" i="7"/>
  <c r="Q17" i="8"/>
  <c r="S36" i="5"/>
  <c r="Q415" i="8"/>
  <c r="Q335" i="8"/>
  <c r="Q330" i="8"/>
  <c r="R15" i="8"/>
  <c r="Q212" i="8"/>
  <c r="Q167" i="8"/>
  <c r="Q350" i="8"/>
  <c r="Q75" i="8"/>
  <c r="Q288" i="8"/>
  <c r="C50" i="7"/>
  <c r="C95" i="7"/>
  <c r="R150" i="8"/>
  <c r="Q418" i="8"/>
  <c r="Q366" i="8"/>
  <c r="L48" i="7"/>
  <c r="I38" i="7"/>
  <c r="D37" i="7"/>
  <c r="C47" i="7"/>
  <c r="Q351" i="8"/>
  <c r="Q321" i="8"/>
  <c r="M42" i="7"/>
  <c r="R42" i="5" s="1"/>
  <c r="E105" i="7"/>
  <c r="D101" i="7"/>
  <c r="C102" i="7"/>
  <c r="R59" i="8"/>
  <c r="F35" i="5"/>
  <c r="R48" i="5"/>
  <c r="G95" i="5"/>
  <c r="Q210" i="8"/>
  <c r="R179" i="8"/>
  <c r="R165" i="8"/>
  <c r="Q149" i="8"/>
  <c r="S41" i="5"/>
  <c r="S42" i="5"/>
  <c r="S51" i="5"/>
  <c r="R51" i="5"/>
  <c r="Q352" i="8"/>
  <c r="Q291" i="8"/>
  <c r="Q236" i="8"/>
  <c r="Q365" i="8"/>
  <c r="Q272" i="8"/>
  <c r="Q380" i="8"/>
  <c r="C45" i="7"/>
  <c r="Q171" i="8"/>
  <c r="Q165" i="8"/>
  <c r="Q36" i="5"/>
  <c r="R45" i="5"/>
  <c r="Q385" i="8"/>
  <c r="P37" i="7"/>
  <c r="M53" i="7"/>
  <c r="R53" i="5" s="1"/>
  <c r="Q421" i="8"/>
  <c r="R36" i="5"/>
  <c r="Q10" i="8"/>
  <c r="R213" i="8"/>
  <c r="R167" i="8"/>
  <c r="Q152" i="8"/>
  <c r="Q391" i="8"/>
  <c r="S53" i="5"/>
  <c r="B52" i="7"/>
  <c r="Q175" i="8"/>
  <c r="Q425" i="8"/>
  <c r="Q275" i="8"/>
  <c r="Q229" i="8"/>
  <c r="P35" i="5"/>
  <c r="S35" i="5" s="1"/>
  <c r="R211" i="8"/>
  <c r="Q181" i="8"/>
  <c r="Q166" i="8"/>
  <c r="Q446" i="8"/>
  <c r="M41" i="7"/>
  <c r="R41" i="5" s="1"/>
  <c r="D48" i="7"/>
  <c r="R164" i="8"/>
  <c r="Q136" i="8"/>
  <c r="C37" i="7"/>
  <c r="J52" i="7"/>
  <c r="E95" i="7"/>
  <c r="R38" i="5"/>
  <c r="Q396" i="8"/>
  <c r="Q290" i="8"/>
  <c r="K48" i="7"/>
  <c r="Q140" i="8"/>
  <c r="Q121" i="8"/>
  <c r="Q109" i="8"/>
  <c r="C43" i="7"/>
  <c r="Q59" i="8"/>
  <c r="B45" i="7"/>
  <c r="H95" i="7"/>
  <c r="E98" i="7"/>
  <c r="D113" i="7"/>
  <c r="R83" i="8"/>
  <c r="R78" i="8"/>
  <c r="R53" i="8"/>
  <c r="H96" i="5"/>
  <c r="R208" i="8"/>
  <c r="Q411" i="8"/>
  <c r="Q53" i="8"/>
  <c r="B111" i="7"/>
  <c r="Q228" i="8"/>
  <c r="Q243" i="8"/>
  <c r="R21" i="6"/>
  <c r="G96" i="5"/>
  <c r="Q395" i="8"/>
  <c r="Q357" i="8"/>
  <c r="Q326" i="8"/>
  <c r="Q289" i="8"/>
  <c r="R77" i="8"/>
  <c r="R195" i="8"/>
  <c r="Q179" i="8"/>
  <c r="Q172" i="8"/>
  <c r="R151" i="8"/>
  <c r="H47" i="7"/>
  <c r="Q47" i="5" s="1"/>
  <c r="Q43" i="5"/>
  <c r="R206" i="8"/>
  <c r="Q417" i="8"/>
  <c r="Q354" i="8"/>
  <c r="Q274" i="8"/>
  <c r="Q441" i="8"/>
  <c r="R74" i="8"/>
  <c r="R22" i="6"/>
  <c r="R212" i="8"/>
  <c r="Q182" i="8"/>
  <c r="Q170" i="8"/>
  <c r="Q12" i="8"/>
  <c r="R197" i="8"/>
  <c r="I47" i="7"/>
  <c r="Q203" i="8"/>
  <c r="Q334" i="8"/>
  <c r="Q265" i="8"/>
  <c r="R139" i="8"/>
  <c r="R14" i="6"/>
  <c r="R202" i="8"/>
  <c r="R196" i="8"/>
  <c r="Q180" i="8"/>
  <c r="Q361" i="8"/>
  <c r="B102" i="7"/>
  <c r="Q207" i="8"/>
  <c r="Q386" i="8"/>
  <c r="Q448" i="8"/>
  <c r="Q320" i="8"/>
  <c r="Q110" i="8"/>
  <c r="Q88" i="8"/>
  <c r="Q83" i="8"/>
  <c r="E102" i="7"/>
  <c r="S48" i="5"/>
  <c r="R17" i="6"/>
  <c r="R180" i="8"/>
  <c r="R170" i="8"/>
  <c r="Q452" i="8"/>
  <c r="H103" i="7"/>
  <c r="R14" i="8"/>
  <c r="D36" i="7"/>
  <c r="B48" i="7"/>
  <c r="S46" i="5"/>
  <c r="Q147" i="8"/>
  <c r="Q336" i="8"/>
  <c r="Q135" i="8"/>
  <c r="O52" i="7"/>
  <c r="E106" i="7"/>
  <c r="D111" i="7"/>
  <c r="J35" i="5"/>
  <c r="R210" i="8"/>
  <c r="R200" i="8"/>
  <c r="R174" i="8"/>
  <c r="R149" i="8"/>
  <c r="Q451" i="8"/>
  <c r="R15" i="6"/>
  <c r="Q206" i="8"/>
  <c r="P47" i="7"/>
  <c r="J51" i="7"/>
  <c r="I46" i="7"/>
  <c r="E35" i="7"/>
  <c r="D50" i="7"/>
  <c r="C48" i="7"/>
  <c r="H45" i="7"/>
  <c r="Q45" i="5" s="1"/>
  <c r="G35" i="5"/>
  <c r="Q10" i="6"/>
  <c r="Q205" i="8"/>
  <c r="Q211" i="8"/>
  <c r="Q447" i="8"/>
  <c r="Q381" i="8"/>
  <c r="Q298" i="8"/>
  <c r="R54" i="8"/>
  <c r="S45" i="5"/>
  <c r="R37" i="5"/>
  <c r="Q24" i="6"/>
  <c r="R12" i="8"/>
  <c r="R198" i="8"/>
  <c r="R172" i="8"/>
  <c r="E45" i="7"/>
  <c r="C53" i="7"/>
  <c r="Q388" i="8"/>
  <c r="H53" i="7"/>
  <c r="Q53" i="5" s="1"/>
  <c r="Q262" i="8"/>
  <c r="Q410" i="8"/>
  <c r="Q238" i="8"/>
  <c r="R47" i="5"/>
  <c r="Q46" i="5"/>
  <c r="Q40" i="5"/>
  <c r="R16" i="6"/>
  <c r="Q15" i="8"/>
  <c r="C35" i="7"/>
  <c r="R51" i="8"/>
  <c r="R24" i="6"/>
  <c r="C41" i="7"/>
  <c r="C36" i="7"/>
  <c r="B106" i="7"/>
  <c r="H112" i="7"/>
  <c r="H35" i="7"/>
  <c r="Q35" i="5" s="1"/>
  <c r="Q21" i="6"/>
  <c r="Q15" i="6"/>
  <c r="R9" i="6"/>
  <c r="R11" i="8"/>
  <c r="Q49" i="8"/>
  <c r="Q14" i="8"/>
  <c r="Q41" i="5"/>
  <c r="R49" i="8"/>
  <c r="Q56" i="8"/>
  <c r="Q19" i="6"/>
  <c r="R56" i="8"/>
  <c r="R19" i="6"/>
  <c r="Q16" i="8"/>
  <c r="H51" i="7"/>
  <c r="Q51" i="5" s="1"/>
  <c r="R25" i="6"/>
  <c r="Q20" i="6"/>
  <c r="Q9" i="6"/>
  <c r="R11" i="6"/>
  <c r="Q37" i="5"/>
  <c r="R16" i="8"/>
  <c r="Q387" i="8"/>
  <c r="R26" i="6"/>
  <c r="R20" i="6"/>
  <c r="Q26" i="6"/>
  <c r="Q25" i="6"/>
  <c r="Q17" i="6"/>
  <c r="Q16" i="6"/>
  <c r="Q14" i="6"/>
  <c r="Q42" i="5"/>
  <c r="H48" i="7"/>
  <c r="Q48" i="5" s="1"/>
  <c r="Q22" i="8"/>
  <c r="H50" i="7"/>
  <c r="Q50" i="5" s="1"/>
  <c r="Q24" i="8"/>
  <c r="H52" i="7"/>
  <c r="Q52" i="5" s="1"/>
  <c r="Q26" i="8"/>
  <c r="H107" i="7"/>
  <c r="R21" i="8"/>
  <c r="H108" i="7"/>
  <c r="R22" i="8"/>
  <c r="H110" i="7"/>
  <c r="R24" i="8"/>
  <c r="H113" i="7"/>
  <c r="R27" i="8"/>
  <c r="B35" i="7"/>
  <c r="Q41" i="8"/>
  <c r="B95" i="7"/>
  <c r="R41" i="8"/>
  <c r="B36" i="7"/>
  <c r="Q42" i="8"/>
  <c r="B96" i="7"/>
  <c r="R42" i="8"/>
  <c r="B37" i="7"/>
  <c r="Q43" i="8"/>
  <c r="B97" i="7"/>
  <c r="R43" i="8"/>
  <c r="B38" i="7"/>
  <c r="Q44" i="8"/>
  <c r="B98" i="7"/>
  <c r="R44" i="8"/>
  <c r="B40" i="7"/>
  <c r="Q46" i="8"/>
  <c r="B100" i="7"/>
  <c r="R46" i="8"/>
  <c r="B41" i="7"/>
  <c r="Q47" i="8"/>
  <c r="B101" i="7"/>
  <c r="R47" i="8"/>
  <c r="B42" i="7"/>
  <c r="Q48" i="8"/>
  <c r="P38" i="7"/>
  <c r="S38" i="5" s="1"/>
  <c r="Q383" i="8"/>
  <c r="R46" i="5"/>
  <c r="S37" i="5" l="1"/>
  <c r="S47" i="5"/>
  <c r="F62" i="9" l="1"/>
  <c r="Z20" i="9"/>
  <c r="T33" i="9"/>
  <c r="J5" i="9"/>
  <c r="T12" i="9"/>
  <c r="F34" i="9"/>
  <c r="N37" i="9"/>
  <c r="Q48" i="9"/>
  <c r="Q39" i="9"/>
  <c r="AD53" i="9"/>
  <c r="S38" i="9"/>
  <c r="AB16" i="9"/>
  <c r="AF52" i="9"/>
  <c r="K52" i="9"/>
  <c r="Z49" i="9"/>
  <c r="AD81" i="9"/>
  <c r="W37" i="9"/>
  <c r="M56" i="9"/>
  <c r="W16" i="9"/>
  <c r="X16" i="9"/>
  <c r="F31" i="9"/>
  <c r="Z48" i="9"/>
  <c r="E26" i="9"/>
  <c r="Q83" i="9"/>
  <c r="Q50" i="9"/>
  <c r="B80" i="9"/>
  <c r="D40" i="9"/>
  <c r="G17" i="9"/>
  <c r="AG7" i="9"/>
  <c r="H81" i="9"/>
  <c r="L20" i="9"/>
  <c r="P16" i="9"/>
  <c r="O27" i="9"/>
  <c r="B53" i="9"/>
  <c r="T54" i="9"/>
  <c r="G16" i="9"/>
  <c r="R12" i="9"/>
  <c r="T60" i="9"/>
  <c r="J40" i="9"/>
  <c r="X18" i="9"/>
  <c r="J52" i="9"/>
  <c r="AC20" i="9"/>
  <c r="K35" i="9"/>
  <c r="H29" i="9"/>
  <c r="D18" i="9"/>
  <c r="S20" i="9"/>
  <c r="M30" i="9"/>
  <c r="R60" i="9"/>
  <c r="I70" i="9"/>
  <c r="E9" i="9"/>
  <c r="H69" i="9"/>
  <c r="W74" i="9"/>
  <c r="AE73" i="9"/>
  <c r="AA60" i="9"/>
  <c r="D77" i="9"/>
  <c r="F77" i="9"/>
  <c r="AF73" i="9"/>
  <c r="N70" i="9"/>
  <c r="P10" i="9"/>
  <c r="H56" i="9"/>
  <c r="P5" i="9"/>
  <c r="O56" i="9"/>
  <c r="O34" i="9"/>
  <c r="AD58" i="9"/>
  <c r="Y37" i="9"/>
  <c r="I56" i="9"/>
  <c r="C10" i="9"/>
  <c r="B47" i="9"/>
  <c r="AG40" i="9"/>
  <c r="G48" i="9"/>
  <c r="S16" i="9"/>
  <c r="T39" i="9"/>
  <c r="L5" i="9"/>
  <c r="Y58" i="9"/>
  <c r="AD6" i="9"/>
  <c r="D55" i="9"/>
  <c r="P74" i="9"/>
  <c r="N10" i="9"/>
  <c r="C71" i="9"/>
  <c r="AG58" i="9"/>
  <c r="AG70" i="9"/>
  <c r="O26" i="9"/>
  <c r="T68" i="9"/>
  <c r="AG19" i="9"/>
  <c r="AF28" i="9"/>
  <c r="J69" i="9"/>
  <c r="AF5" i="9"/>
  <c r="P78" i="9"/>
  <c r="W60" i="9"/>
  <c r="AG78" i="9"/>
  <c r="AF80" i="9"/>
  <c r="AE78" i="9"/>
  <c r="S73" i="9"/>
  <c r="K29" i="9"/>
  <c r="AG83" i="9"/>
  <c r="U80" i="9"/>
  <c r="F47" i="9"/>
  <c r="K14" i="9"/>
  <c r="I71" i="9"/>
  <c r="AF10" i="9"/>
  <c r="AB69" i="9"/>
  <c r="M9" i="9"/>
  <c r="M74" i="9"/>
  <c r="P75" i="9"/>
  <c r="I78" i="9"/>
  <c r="Z62" i="9"/>
  <c r="P77" i="9"/>
  <c r="AF32" i="9"/>
  <c r="C74" i="9"/>
  <c r="K30" i="9"/>
  <c r="Y51" i="9"/>
  <c r="Z15" i="9"/>
  <c r="G75" i="9"/>
  <c r="R34" i="9"/>
  <c r="V55" i="9"/>
  <c r="O29" i="9"/>
  <c r="H47" i="9"/>
  <c r="F33" i="9"/>
  <c r="V61" i="9"/>
  <c r="Q54" i="9"/>
  <c r="AA40" i="9"/>
  <c r="G26" i="9"/>
  <c r="V33" i="9"/>
  <c r="AG20" i="9"/>
  <c r="U28" i="9"/>
  <c r="N9" i="9"/>
  <c r="M75" i="9"/>
  <c r="F72" i="9"/>
  <c r="AF77" i="9"/>
  <c r="U53" i="9"/>
  <c r="P14" i="9"/>
  <c r="AA31" i="9"/>
  <c r="L51" i="9"/>
  <c r="L34" i="9"/>
  <c r="K28" i="9"/>
  <c r="AB5" i="9"/>
  <c r="K79" i="9"/>
  <c r="N79" i="9"/>
  <c r="S52" i="9"/>
  <c r="L69" i="9"/>
  <c r="V53" i="9"/>
  <c r="T35" i="9"/>
  <c r="S37" i="9"/>
  <c r="T14" i="9"/>
  <c r="O9" i="9"/>
  <c r="N39" i="9"/>
  <c r="T75" i="9"/>
  <c r="Q41" i="9"/>
  <c r="AA70" i="9"/>
  <c r="H13" i="9"/>
  <c r="C36" i="9"/>
  <c r="AF56" i="9"/>
  <c r="D15" i="9"/>
  <c r="Z53" i="9"/>
  <c r="P82" i="9"/>
  <c r="AC41" i="9"/>
  <c r="AD49" i="9"/>
  <c r="W20" i="9"/>
  <c r="H32" i="9"/>
  <c r="F35" i="9"/>
  <c r="E32" i="9"/>
  <c r="E30" i="9"/>
  <c r="P61" i="9"/>
  <c r="Q58" i="9"/>
  <c r="H36" i="9"/>
  <c r="P48" i="9"/>
  <c r="G19" i="9"/>
  <c r="Q15" i="9"/>
  <c r="H83" i="9"/>
  <c r="L29" i="9"/>
  <c r="I83" i="9"/>
  <c r="O31" i="9"/>
  <c r="Z10" i="9"/>
  <c r="O10" i="9"/>
  <c r="AB19" i="9"/>
  <c r="R20" i="9"/>
  <c r="S61" i="9"/>
  <c r="L50" i="9"/>
  <c r="AD51" i="9"/>
  <c r="AC12" i="9"/>
  <c r="L70" i="9"/>
  <c r="U41" i="9"/>
  <c r="C76" i="9"/>
  <c r="C11" i="9"/>
  <c r="S56" i="9"/>
  <c r="B52" i="9"/>
  <c r="R75" i="9"/>
  <c r="K8" i="9"/>
  <c r="I59" i="9"/>
  <c r="C51" i="9"/>
  <c r="C12" i="9"/>
  <c r="AE77" i="9"/>
  <c r="P62" i="9"/>
  <c r="AF60" i="9"/>
  <c r="AC72" i="9"/>
  <c r="U52" i="9"/>
  <c r="V39" i="9"/>
  <c r="H9" i="9"/>
  <c r="N71" i="9"/>
  <c r="V16" i="9"/>
  <c r="U83" i="9"/>
  <c r="Z76" i="9"/>
  <c r="J62" i="9"/>
  <c r="E41" i="9"/>
  <c r="AA13" i="9"/>
  <c r="B70" i="9"/>
  <c r="B51" i="9"/>
  <c r="S49" i="9"/>
  <c r="AB74" i="9"/>
  <c r="P41" i="9"/>
  <c r="AA38" i="9"/>
  <c r="V7" i="9"/>
  <c r="B60" i="9"/>
  <c r="K5" i="9"/>
  <c r="AD72" i="9"/>
  <c r="P80" i="9"/>
  <c r="AB72" i="9"/>
  <c r="C77" i="9"/>
  <c r="AC78" i="9"/>
  <c r="AG82" i="9"/>
  <c r="U78" i="9"/>
  <c r="S54" i="9"/>
  <c r="T71" i="9"/>
  <c r="AF34" i="9"/>
  <c r="N7" i="9"/>
  <c r="L10" i="9"/>
  <c r="G61" i="9"/>
  <c r="R29" i="9"/>
  <c r="AF74" i="9"/>
  <c r="C27" i="9"/>
  <c r="F69" i="9"/>
  <c r="D30" i="9"/>
  <c r="AG71" i="9"/>
  <c r="AA6" i="9"/>
  <c r="H50" i="9"/>
  <c r="AD19" i="9"/>
  <c r="G52" i="9"/>
  <c r="K40" i="9"/>
  <c r="R15" i="9"/>
  <c r="M55" i="9"/>
  <c r="D72" i="9"/>
  <c r="AD40" i="9"/>
  <c r="W54" i="9"/>
  <c r="AB51" i="9"/>
  <c r="S83" i="9"/>
  <c r="J58" i="9"/>
  <c r="D70" i="9"/>
  <c r="L8" i="9"/>
  <c r="F57" i="9"/>
  <c r="F16" i="9"/>
  <c r="AA20" i="9"/>
  <c r="G83" i="9"/>
  <c r="O48" i="9"/>
  <c r="Z59" i="9"/>
  <c r="N14" i="9"/>
  <c r="H55" i="9"/>
  <c r="U26" i="9"/>
  <c r="U50" i="9"/>
  <c r="T40" i="9"/>
  <c r="P11" i="9"/>
  <c r="AB7" i="9"/>
  <c r="V37" i="9"/>
  <c r="Z74" i="9"/>
  <c r="U32" i="9"/>
  <c r="Z31" i="9"/>
  <c r="E78" i="9"/>
  <c r="V70" i="9"/>
  <c r="AF33" i="9"/>
  <c r="AC30" i="9"/>
  <c r="AG48" i="9"/>
  <c r="I17" i="9"/>
  <c r="O53" i="9"/>
  <c r="T76" i="9"/>
  <c r="F8" i="9"/>
  <c r="Y6" i="9"/>
  <c r="H73" i="9"/>
  <c r="K62" i="9"/>
  <c r="AA56" i="9"/>
  <c r="Y74" i="9"/>
  <c r="X34" i="9"/>
  <c r="G78" i="9"/>
  <c r="X68" i="9"/>
  <c r="E70" i="9"/>
  <c r="P29" i="9"/>
  <c r="F58" i="9"/>
  <c r="AA26" i="9"/>
  <c r="AD69" i="9"/>
  <c r="Z56" i="9"/>
  <c r="N68" i="9"/>
  <c r="H5" i="9"/>
  <c r="AA77" i="9"/>
  <c r="C72" i="9"/>
  <c r="AA62" i="9"/>
  <c r="K59" i="9"/>
  <c r="W51" i="9"/>
  <c r="AD7" i="9"/>
  <c r="O30" i="9"/>
  <c r="B75" i="9"/>
  <c r="O35" i="9"/>
  <c r="F68" i="9"/>
  <c r="AG56" i="9"/>
  <c r="E72" i="9"/>
  <c r="P30" i="9"/>
  <c r="AE10" i="9"/>
  <c r="R26" i="9"/>
  <c r="AF27" i="9"/>
  <c r="L32" i="9"/>
  <c r="K26" i="9"/>
  <c r="X83" i="9"/>
  <c r="K74" i="9"/>
  <c r="P33" i="9"/>
  <c r="K68" i="9"/>
  <c r="N59" i="9"/>
  <c r="H11" i="9"/>
  <c r="AB54" i="9"/>
  <c r="G10" i="9"/>
  <c r="B7" i="9"/>
  <c r="Y34" i="9"/>
  <c r="L57" i="9"/>
  <c r="AF47" i="9"/>
  <c r="J27" i="9"/>
  <c r="G54" i="9"/>
  <c r="U11" i="9"/>
  <c r="AC75" i="9"/>
  <c r="W28" i="9"/>
  <c r="F36" i="9"/>
  <c r="F49" i="9"/>
  <c r="AC39" i="9"/>
  <c r="P9" i="9"/>
  <c r="AE62" i="9"/>
  <c r="AF48" i="9"/>
  <c r="W40" i="9"/>
  <c r="I61" i="9"/>
  <c r="AD73" i="9"/>
  <c r="U61" i="9"/>
  <c r="I13" i="9"/>
  <c r="AC40" i="9"/>
  <c r="AC68" i="9"/>
  <c r="V5" i="9"/>
  <c r="AF8" i="9"/>
  <c r="P76" i="9"/>
  <c r="C73" i="9"/>
  <c r="AG74" i="9"/>
  <c r="S50" i="9"/>
  <c r="AF30" i="9"/>
  <c r="Z6" i="9"/>
  <c r="I77" i="9"/>
  <c r="S71" i="9"/>
  <c r="H58" i="9"/>
  <c r="AF12" i="9"/>
  <c r="AC9" i="9"/>
  <c r="Q55" i="9"/>
  <c r="M51" i="9"/>
  <c r="AE51" i="9"/>
  <c r="W56" i="9"/>
  <c r="U51" i="9"/>
  <c r="U49" i="9"/>
  <c r="B27" i="9"/>
  <c r="G79" i="9"/>
  <c r="V57" i="9"/>
  <c r="H51" i="9"/>
  <c r="V68" i="9"/>
  <c r="G49" i="9"/>
  <c r="V35" i="9"/>
  <c r="U30" i="9"/>
  <c r="H33" i="9"/>
  <c r="Y8" i="9"/>
  <c r="R68" i="9"/>
  <c r="AF35" i="9"/>
  <c r="T5" i="9"/>
  <c r="K81" i="9"/>
  <c r="AA54" i="9"/>
  <c r="Y82" i="9"/>
  <c r="G74" i="9"/>
  <c r="I58" i="9"/>
  <c r="V18" i="9"/>
  <c r="F56" i="9"/>
  <c r="AA28" i="9"/>
  <c r="G38" i="9"/>
  <c r="R73" i="9"/>
  <c r="E40" i="9"/>
  <c r="AC11" i="9"/>
  <c r="X73" i="9"/>
  <c r="Q51" i="9"/>
  <c r="T53" i="9"/>
  <c r="W55" i="9"/>
  <c r="R59" i="9"/>
  <c r="D11" i="9"/>
  <c r="Q7" i="9"/>
  <c r="L76" i="9"/>
  <c r="AG52" i="9"/>
  <c r="E76" i="9"/>
  <c r="P36" i="9"/>
  <c r="AD37" i="9"/>
  <c r="AE32" i="9"/>
  <c r="N36" i="9"/>
  <c r="K18" i="9"/>
  <c r="AD56" i="9"/>
  <c r="Z36" i="9"/>
  <c r="N73" i="9"/>
  <c r="V77" i="9"/>
  <c r="U13" i="9"/>
  <c r="M14" i="9"/>
  <c r="D54" i="9"/>
  <c r="Z30" i="9"/>
  <c r="E39" i="9"/>
  <c r="Y79" i="9"/>
  <c r="AE34" i="9"/>
  <c r="K53" i="9"/>
  <c r="I50" i="9"/>
  <c r="AC77" i="9"/>
  <c r="G51" i="9"/>
  <c r="X51" i="9"/>
  <c r="E31" i="9"/>
  <c r="C41" i="9"/>
  <c r="V72" i="9"/>
  <c r="Q56" i="9"/>
  <c r="Y10" i="9"/>
  <c r="L53" i="9"/>
  <c r="K12" i="9"/>
  <c r="E73" i="9"/>
  <c r="AC33" i="9"/>
  <c r="Y31" i="9"/>
  <c r="S41" i="9"/>
  <c r="H49" i="9"/>
  <c r="N16" i="9"/>
  <c r="R76" i="9"/>
  <c r="AD39" i="9"/>
  <c r="T31" i="9"/>
  <c r="N34" i="9"/>
  <c r="AG27" i="9"/>
  <c r="J78" i="9"/>
  <c r="D39" i="9"/>
  <c r="D6" i="9"/>
  <c r="C30" i="9"/>
  <c r="AA53" i="9"/>
  <c r="W15" i="9"/>
  <c r="Z12" i="9"/>
  <c r="B29" i="9"/>
  <c r="M50" i="9"/>
  <c r="AD13" i="9"/>
  <c r="M68" i="9"/>
  <c r="AF29" i="9"/>
  <c r="AC74" i="9"/>
  <c r="D53" i="9"/>
  <c r="F28" i="9"/>
  <c r="G5" i="9"/>
  <c r="N40" i="9"/>
  <c r="AF78" i="9"/>
  <c r="Y48" i="9"/>
  <c r="B26" i="9"/>
  <c r="T52" i="9"/>
  <c r="P55" i="9"/>
  <c r="R10" i="9"/>
  <c r="U34" i="9"/>
  <c r="W31" i="9"/>
  <c r="AC13" i="9"/>
  <c r="U38" i="9"/>
  <c r="Z33" i="9"/>
  <c r="AD76" i="9"/>
  <c r="V14" i="9"/>
  <c r="K27" i="9"/>
  <c r="R27" i="9"/>
  <c r="AG15" i="9"/>
  <c r="AE68" i="9"/>
  <c r="E51" i="9"/>
  <c r="T37" i="9"/>
  <c r="T16" i="9"/>
  <c r="N41" i="9"/>
  <c r="F10" i="9"/>
  <c r="H26" i="9"/>
  <c r="R41" i="9"/>
  <c r="D7" i="9"/>
  <c r="L58" i="9"/>
  <c r="J17" i="9"/>
  <c r="E60" i="9"/>
  <c r="M20" i="9"/>
  <c r="AA71" i="9"/>
  <c r="X69" i="9"/>
  <c r="Q28" i="9"/>
  <c r="S13" i="9"/>
  <c r="M81" i="9"/>
  <c r="K37" i="9"/>
  <c r="AC49" i="9"/>
  <c r="W83" i="9"/>
  <c r="AC14" i="9"/>
  <c r="H12" i="9"/>
  <c r="C13" i="9"/>
  <c r="B54" i="9"/>
  <c r="T7" i="9"/>
  <c r="C53" i="9"/>
  <c r="AE81" i="9"/>
  <c r="C80" i="9"/>
  <c r="R83" i="9"/>
  <c r="C16" i="9"/>
  <c r="AC51" i="9"/>
  <c r="E79" i="9"/>
  <c r="Z11" i="9"/>
  <c r="AF53" i="9"/>
  <c r="V78" i="9"/>
  <c r="G82" i="9"/>
  <c r="AE14" i="9"/>
  <c r="P27" i="9"/>
  <c r="Z60" i="9"/>
  <c r="F48" i="9"/>
  <c r="M17" i="9"/>
  <c r="AB62" i="9"/>
  <c r="E81" i="9"/>
  <c r="F76" i="9"/>
  <c r="S39" i="9"/>
  <c r="Q59" i="9"/>
  <c r="Q69" i="9"/>
  <c r="U20" i="9"/>
  <c r="J8" i="9"/>
  <c r="U7" i="9"/>
  <c r="D29" i="9"/>
  <c r="F61" i="9"/>
  <c r="M61" i="9"/>
  <c r="B72" i="9"/>
  <c r="AB29" i="9"/>
  <c r="AD16" i="9"/>
  <c r="V38" i="9"/>
  <c r="P68" i="9"/>
  <c r="O32" i="9"/>
  <c r="H31" i="9"/>
  <c r="K76" i="9"/>
  <c r="AE17" i="9"/>
  <c r="N55" i="9"/>
  <c r="W76" i="9"/>
  <c r="AE28" i="9"/>
  <c r="D58" i="9"/>
  <c r="AD9" i="9"/>
  <c r="S59" i="9"/>
  <c r="Q37" i="9"/>
  <c r="N75" i="9"/>
  <c r="B57" i="9"/>
  <c r="K41" i="9"/>
  <c r="I33" i="9"/>
  <c r="G55" i="9"/>
  <c r="F38" i="9"/>
  <c r="AD68" i="9"/>
  <c r="S7" i="9"/>
  <c r="R49" i="9"/>
  <c r="Q32" i="9"/>
  <c r="AA50" i="9"/>
  <c r="H40" i="9"/>
  <c r="E52" i="9"/>
  <c r="J76" i="9"/>
  <c r="F20" i="9"/>
  <c r="E75" i="9"/>
  <c r="L55" i="9"/>
  <c r="H57" i="9"/>
  <c r="N20" i="9"/>
  <c r="AE71" i="9"/>
  <c r="AC81" i="9"/>
  <c r="AE38" i="9"/>
  <c r="N38" i="9"/>
  <c r="AG29" i="9"/>
  <c r="D37" i="9"/>
  <c r="R54" i="9"/>
  <c r="AC17" i="9"/>
  <c r="F74" i="9"/>
  <c r="AF36" i="9"/>
  <c r="K16" i="9"/>
  <c r="B16" i="9"/>
  <c r="H19" i="9"/>
  <c r="Z83" i="9"/>
  <c r="U35" i="9"/>
  <c r="W77" i="9"/>
  <c r="AG9" i="9"/>
  <c r="K31" i="9"/>
  <c r="D57" i="9"/>
  <c r="AF15" i="9"/>
  <c r="B10" i="9"/>
  <c r="F54" i="9"/>
  <c r="I30" i="9"/>
  <c r="AB38" i="9"/>
  <c r="L40" i="9"/>
  <c r="M78" i="9"/>
  <c r="M52" i="9"/>
  <c r="E55" i="9"/>
  <c r="W41" i="9"/>
  <c r="T20" i="9"/>
  <c r="D51" i="9"/>
  <c r="F14" i="9"/>
  <c r="C18" i="9"/>
  <c r="R50" i="9"/>
  <c r="W19" i="9"/>
  <c r="Q62" i="9"/>
  <c r="O62" i="9"/>
  <c r="W81" i="9"/>
  <c r="X39" i="9"/>
  <c r="C37" i="9"/>
  <c r="G15" i="9"/>
  <c r="M6" i="9"/>
  <c r="C81" i="9"/>
  <c r="S58" i="9"/>
  <c r="V75" i="9"/>
  <c r="AC61" i="9"/>
  <c r="X40" i="9"/>
  <c r="AC16" i="9"/>
  <c r="H16" i="9"/>
  <c r="C15" i="9"/>
  <c r="B56" i="9"/>
  <c r="F6" i="9"/>
  <c r="C57" i="9"/>
  <c r="AB77" i="9"/>
  <c r="Y62" i="9"/>
  <c r="V60" i="9"/>
  <c r="H48" i="9"/>
  <c r="L30" i="9"/>
  <c r="AD55" i="9"/>
  <c r="Z19" i="9"/>
  <c r="AF57" i="9"/>
  <c r="O69" i="9"/>
  <c r="D78" i="9"/>
  <c r="U62" i="9"/>
  <c r="P31" i="9"/>
  <c r="Y53" i="9"/>
  <c r="G59" i="9"/>
  <c r="I75" i="9"/>
  <c r="D60" i="9"/>
  <c r="F82" i="9"/>
  <c r="AB80" i="9"/>
  <c r="Y41" i="9"/>
  <c r="AA29" i="9"/>
  <c r="AE9" i="9"/>
  <c r="F73" i="9"/>
  <c r="AC62" i="9"/>
  <c r="Z55" i="9"/>
  <c r="F37" i="9"/>
  <c r="L71" i="9"/>
  <c r="R33" i="9"/>
  <c r="Y15" i="9"/>
  <c r="M47" i="9"/>
  <c r="AD74" i="9"/>
  <c r="AA49" i="9"/>
  <c r="O57" i="9"/>
  <c r="AC80" i="9"/>
  <c r="W71" i="9"/>
  <c r="Z38" i="9"/>
  <c r="N77" i="9"/>
  <c r="C49" i="9"/>
  <c r="S40" i="9"/>
  <c r="Z70" i="9"/>
  <c r="G14" i="9"/>
  <c r="C79" i="9"/>
  <c r="R81" i="9"/>
  <c r="E34" i="9"/>
  <c r="X79" i="9"/>
  <c r="Z50" i="9"/>
  <c r="I62" i="9"/>
  <c r="L13" i="9"/>
  <c r="W30" i="9"/>
  <c r="X55" i="9"/>
  <c r="E33" i="9"/>
  <c r="W49" i="9"/>
  <c r="V80" i="9"/>
  <c r="K70" i="9"/>
  <c r="P13" i="9"/>
  <c r="X20" i="9"/>
  <c r="R74" i="9"/>
  <c r="B77" i="9"/>
  <c r="F51" i="9"/>
  <c r="G30" i="9"/>
  <c r="M41" i="9"/>
  <c r="B58" i="9"/>
  <c r="G9" i="9"/>
  <c r="G40" i="9"/>
  <c r="AC83" i="9"/>
  <c r="AE40" i="9"/>
  <c r="Y77" i="9"/>
  <c r="AG31" i="9"/>
  <c r="AA52" i="9"/>
  <c r="Z73" i="9"/>
  <c r="AB34" i="9"/>
  <c r="AA10" i="9"/>
  <c r="L75" i="9"/>
  <c r="D81" i="9"/>
  <c r="Q49" i="9"/>
  <c r="AF83" i="9"/>
  <c r="M28" i="9"/>
  <c r="W59" i="9"/>
  <c r="T17" i="9"/>
  <c r="Z9" i="9"/>
  <c r="E7" i="9"/>
  <c r="W9" i="9"/>
  <c r="E10" i="9"/>
  <c r="D9" i="9"/>
  <c r="D12" i="9"/>
  <c r="AG79" i="9"/>
  <c r="O61" i="9"/>
  <c r="V34" i="9"/>
  <c r="R19" i="9"/>
  <c r="C26" i="9"/>
  <c r="M59" i="9"/>
  <c r="C33" i="9"/>
  <c r="AD33" i="9"/>
  <c r="U27" i="9"/>
  <c r="O14" i="9"/>
  <c r="L74" i="9"/>
  <c r="K83" i="9"/>
  <c r="J12" i="9"/>
  <c r="H14" i="9"/>
  <c r="I40" i="9"/>
  <c r="AA59" i="9"/>
  <c r="K61" i="9"/>
  <c r="C9" i="9"/>
  <c r="Z81" i="9"/>
  <c r="Q79" i="9"/>
  <c r="AB50" i="9"/>
  <c r="AE11" i="9"/>
  <c r="M83" i="9"/>
  <c r="P59" i="9"/>
  <c r="W33" i="9"/>
  <c r="W12" i="9"/>
  <c r="F27" i="9"/>
  <c r="E17" i="9"/>
  <c r="R58" i="9"/>
  <c r="D36" i="9"/>
  <c r="G28" i="9"/>
  <c r="L16" i="9"/>
  <c r="O18" i="9"/>
  <c r="T41" i="9"/>
  <c r="E38" i="9"/>
  <c r="J36" i="9"/>
  <c r="J48" i="9"/>
  <c r="P40" i="9"/>
  <c r="N12" i="9"/>
  <c r="U19" i="9"/>
  <c r="T38" i="9"/>
  <c r="F32" i="9"/>
  <c r="T8" i="9"/>
  <c r="O51" i="9"/>
  <c r="AA37" i="9"/>
  <c r="N60" i="9"/>
  <c r="K51" i="9"/>
  <c r="AG32" i="9"/>
  <c r="I55" i="9"/>
  <c r="AB49" i="9"/>
  <c r="U79" i="9"/>
  <c r="W36" i="9"/>
  <c r="X59" i="9"/>
  <c r="AE35" i="9"/>
  <c r="V29" i="9"/>
  <c r="AE36" i="9"/>
  <c r="F78" i="9"/>
  <c r="X5" i="9"/>
  <c r="I47" i="9"/>
  <c r="W70" i="9"/>
  <c r="S27" i="9"/>
  <c r="N76" i="9"/>
  <c r="AA48" i="9"/>
  <c r="X62" i="9"/>
  <c r="AC71" i="9"/>
  <c r="W7" i="9"/>
  <c r="AD75" i="9"/>
  <c r="R52" i="9"/>
  <c r="V52" i="9"/>
  <c r="E15" i="9"/>
  <c r="R48" i="9"/>
  <c r="T59" i="9"/>
  <c r="R30" i="9"/>
  <c r="Q6" i="9"/>
  <c r="B31" i="9"/>
  <c r="Z41" i="9"/>
  <c r="Q33" i="9"/>
  <c r="K82" i="9"/>
  <c r="AE26" i="9"/>
  <c r="N13" i="9"/>
  <c r="H15" i="9"/>
  <c r="AB78" i="9"/>
  <c r="H77" i="9"/>
  <c r="W61" i="9"/>
  <c r="Q47" i="9"/>
  <c r="E47" i="9"/>
  <c r="J56" i="9"/>
  <c r="AB76" i="9"/>
  <c r="J33" i="9"/>
  <c r="Z8" i="9"/>
  <c r="W39" i="9"/>
  <c r="T48" i="9"/>
  <c r="AC54" i="9"/>
  <c r="X15" i="9"/>
  <c r="O74" i="9"/>
  <c r="M77" i="9"/>
  <c r="AC60" i="9"/>
  <c r="D35" i="9"/>
  <c r="K13" i="9"/>
  <c r="L81" i="9"/>
  <c r="AB40" i="9"/>
  <c r="M31" i="9"/>
  <c r="Z61" i="9"/>
  <c r="AE33" i="9"/>
  <c r="M38" i="9"/>
  <c r="U77" i="9"/>
  <c r="I12" i="9"/>
  <c r="C59" i="9"/>
  <c r="B28" i="9"/>
  <c r="U60" i="9"/>
  <c r="J74" i="9"/>
  <c r="W62" i="9"/>
  <c r="AD41" i="9"/>
  <c r="M11" i="9"/>
  <c r="Z34" i="9"/>
  <c r="G39" i="9"/>
  <c r="X48" i="9"/>
  <c r="V81" i="9"/>
  <c r="R56" i="9"/>
  <c r="V79" i="9"/>
  <c r="AD29" i="9"/>
  <c r="U5" i="9"/>
  <c r="T30" i="9"/>
  <c r="F15" i="9"/>
  <c r="E18" i="9"/>
  <c r="R82" i="9"/>
  <c r="AC34" i="9"/>
  <c r="N26" i="9"/>
  <c r="Q71" i="9"/>
  <c r="J30" i="9"/>
  <c r="J53" i="9"/>
  <c r="AG30" i="9"/>
  <c r="AE58" i="9"/>
  <c r="Q13" i="9"/>
  <c r="Z39" i="9"/>
  <c r="AE79" i="9"/>
  <c r="P37" i="9"/>
  <c r="R77" i="9"/>
  <c r="X61" i="9"/>
  <c r="L38" i="9"/>
  <c r="O15" i="9"/>
  <c r="R8" i="9"/>
  <c r="Y75" i="9"/>
  <c r="W29" i="9"/>
  <c r="L79" i="9"/>
  <c r="K38" i="9"/>
  <c r="Y59" i="9"/>
  <c r="J73" i="9"/>
  <c r="J28" i="9"/>
  <c r="S47" i="9"/>
  <c r="AD32" i="9"/>
  <c r="Y11" i="9"/>
  <c r="AB20" i="9"/>
  <c r="AF9" i="9"/>
  <c r="X80" i="9"/>
  <c r="D47" i="9"/>
  <c r="J61" i="9"/>
  <c r="O8" i="9"/>
  <c r="I7" i="9"/>
  <c r="AD8" i="9"/>
  <c r="B38" i="9"/>
  <c r="K75" i="9"/>
  <c r="Y76" i="9"/>
  <c r="Y70" i="9"/>
  <c r="W80" i="9"/>
  <c r="Y33" i="9"/>
  <c r="W8" i="9"/>
  <c r="N74" i="9"/>
  <c r="J70" i="9"/>
  <c r="E8" i="9"/>
  <c r="X78" i="9"/>
  <c r="R72" i="9"/>
  <c r="L54" i="9"/>
  <c r="AA75" i="9"/>
  <c r="U56" i="9"/>
  <c r="X33" i="9"/>
  <c r="J79" i="9"/>
  <c r="M80" i="9"/>
  <c r="C28" i="9"/>
  <c r="G7" i="9"/>
  <c r="V10" i="9"/>
  <c r="AB70" i="9"/>
  <c r="U33" i="9"/>
  <c r="Q27" i="9"/>
  <c r="K80" i="9"/>
  <c r="AA74" i="9"/>
  <c r="F26" i="9"/>
  <c r="D27" i="9"/>
  <c r="C35" i="9"/>
  <c r="C32" i="9"/>
  <c r="AB68" i="9"/>
  <c r="Y40" i="9"/>
  <c r="AE39" i="9"/>
  <c r="I28" i="9"/>
  <c r="AD48" i="9"/>
  <c r="Z75" i="9"/>
  <c r="S5" i="9"/>
  <c r="I73" i="9"/>
  <c r="Z82" i="9"/>
  <c r="V30" i="9"/>
  <c r="I6" i="9"/>
  <c r="D28" i="9"/>
  <c r="W47" i="9"/>
  <c r="AB32" i="9"/>
  <c r="AA15" i="9"/>
  <c r="H62" i="9"/>
  <c r="O77" i="9"/>
  <c r="AC18" i="9"/>
  <c r="Y39" i="9"/>
  <c r="L59" i="9"/>
  <c r="Z18" i="9"/>
  <c r="O59" i="9"/>
  <c r="AD31" i="9"/>
  <c r="G68" i="9"/>
  <c r="M16" i="9"/>
  <c r="V26" i="9"/>
  <c r="M49" i="9"/>
  <c r="H8" i="9"/>
  <c r="S72" i="9"/>
  <c r="AC32" i="9"/>
  <c r="X17" i="9"/>
  <c r="J59" i="9"/>
  <c r="AC31" i="9"/>
  <c r="J6" i="9"/>
  <c r="H79" i="9"/>
  <c r="AE27" i="9"/>
  <c r="Z58" i="9"/>
  <c r="C40" i="9"/>
  <c r="D80" i="9"/>
  <c r="G6" i="9"/>
  <c r="C29" i="9"/>
  <c r="O7" i="9"/>
  <c r="S74" i="9"/>
  <c r="AF11" i="9"/>
  <c r="Y27" i="9"/>
  <c r="AG69" i="9"/>
  <c r="T73" i="9"/>
  <c r="C39" i="9"/>
  <c r="AG12" i="9"/>
  <c r="S60" i="9"/>
  <c r="M73" i="9"/>
  <c r="D79" i="9"/>
  <c r="V47" i="9"/>
  <c r="P15" i="9"/>
  <c r="U36" i="9"/>
  <c r="V62" i="9"/>
  <c r="Q9" i="9"/>
  <c r="C75" i="9"/>
  <c r="V13" i="9"/>
  <c r="E74" i="9"/>
  <c r="L36" i="9"/>
  <c r="AC52" i="9"/>
  <c r="P69" i="9"/>
  <c r="N72" i="9"/>
  <c r="U81" i="9"/>
  <c r="AG11" i="9"/>
  <c r="D16" i="9"/>
  <c r="K7" i="9"/>
  <c r="B11" i="9"/>
  <c r="E16" i="9"/>
  <c r="J19" i="9"/>
  <c r="K78" i="9"/>
  <c r="N57" i="9"/>
  <c r="K72" i="9"/>
  <c r="AA36" i="9"/>
  <c r="B55" i="9"/>
  <c r="M13" i="9"/>
  <c r="M54" i="9"/>
  <c r="F40" i="9"/>
  <c r="F5" i="9"/>
  <c r="V41" i="9"/>
  <c r="V49" i="9"/>
  <c r="N52" i="9"/>
  <c r="AB35" i="9"/>
  <c r="D34" i="9"/>
  <c r="E37" i="9"/>
  <c r="O49" i="9"/>
  <c r="AG35" i="9"/>
  <c r="M72" i="9"/>
  <c r="L62" i="9"/>
  <c r="M27" i="9"/>
  <c r="Q19" i="9"/>
  <c r="Y9" i="9"/>
  <c r="O52" i="9"/>
  <c r="W13" i="9"/>
  <c r="W75" i="9"/>
  <c r="L60" i="9"/>
  <c r="K73" i="9"/>
  <c r="V36" i="9"/>
  <c r="AB55" i="9"/>
  <c r="V6" i="9"/>
  <c r="AA72" i="9"/>
  <c r="U71" i="9"/>
  <c r="AF72" i="9"/>
  <c r="AF69" i="9"/>
  <c r="H68" i="9"/>
  <c r="G80" i="9"/>
  <c r="S81" i="9"/>
  <c r="F55" i="9"/>
  <c r="I82" i="9"/>
  <c r="Z57" i="9"/>
  <c r="AC47" i="9"/>
  <c r="Z27" i="9"/>
  <c r="N31" i="9"/>
  <c r="Q20" i="9"/>
  <c r="N83" i="9"/>
  <c r="AB60" i="9"/>
  <c r="E82" i="9"/>
  <c r="E11" i="9"/>
  <c r="O54" i="9"/>
  <c r="E6" i="9"/>
  <c r="B59" i="9"/>
  <c r="W82" i="9"/>
  <c r="L41" i="9"/>
  <c r="Q38" i="9"/>
  <c r="B48" i="9"/>
  <c r="D52" i="9"/>
  <c r="AE70" i="9"/>
  <c r="AC82" i="9"/>
  <c r="Z40" i="9"/>
  <c r="N11" i="9"/>
  <c r="G73" i="9"/>
  <c r="E58" i="9"/>
  <c r="AB39" i="9"/>
  <c r="AE75" i="9"/>
  <c r="D56" i="9"/>
  <c r="AD47" i="9"/>
  <c r="X11" i="9"/>
  <c r="D13" i="9"/>
  <c r="J34" i="9"/>
  <c r="Y19" i="9"/>
  <c r="AG16" i="9"/>
  <c r="AE29" i="9"/>
  <c r="O58" i="9"/>
  <c r="T13" i="9"/>
  <c r="J35" i="9"/>
  <c r="AE55" i="9"/>
  <c r="H30" i="9"/>
  <c r="T47" i="9"/>
  <c r="P60" i="9"/>
  <c r="Y13" i="9"/>
  <c r="B18" i="9"/>
  <c r="C56" i="9"/>
  <c r="R47" i="9"/>
  <c r="N69" i="9"/>
  <c r="AB37" i="9"/>
  <c r="Z35" i="9"/>
  <c r="AB81" i="9"/>
  <c r="T15" i="9"/>
  <c r="Z47" i="9"/>
  <c r="W14" i="9"/>
  <c r="E19" i="9"/>
  <c r="D38" i="9"/>
  <c r="L18" i="9"/>
  <c r="T50" i="9"/>
  <c r="J38" i="9"/>
  <c r="R78" i="9"/>
  <c r="AB26" i="9"/>
  <c r="O16" i="9"/>
  <c r="G81" i="9"/>
  <c r="AA39" i="9"/>
  <c r="W48" i="9"/>
  <c r="AB53" i="9"/>
  <c r="Q76" i="9"/>
  <c r="T27" i="9"/>
  <c r="W11" i="9"/>
  <c r="E50" i="9"/>
  <c r="N8" i="9"/>
  <c r="R62" i="9"/>
  <c r="U16" i="9"/>
  <c r="J51" i="9"/>
  <c r="AG33" i="9"/>
  <c r="C48" i="9"/>
  <c r="AE12" i="9"/>
  <c r="AA12" i="9"/>
  <c r="AF41" i="9"/>
  <c r="L52" i="9"/>
  <c r="I52" i="9"/>
  <c r="H41" i="9"/>
  <c r="Y30" i="9"/>
  <c r="AF55" i="9"/>
  <c r="AB10" i="9"/>
  <c r="H78" i="9"/>
  <c r="R16" i="9"/>
  <c r="Q16" i="9"/>
  <c r="Q8" i="9"/>
  <c r="Q81" i="9"/>
  <c r="C6" i="9"/>
  <c r="P52" i="9"/>
  <c r="Q57" i="9"/>
  <c r="U15" i="9"/>
  <c r="N30" i="9"/>
  <c r="Y12" i="9"/>
  <c r="Z79" i="9"/>
  <c r="AF40" i="9"/>
  <c r="P19" i="9"/>
  <c r="O81" i="9"/>
  <c r="M58" i="9"/>
  <c r="AE59" i="9"/>
  <c r="F17" i="9"/>
  <c r="AD12" i="9"/>
  <c r="V59" i="9"/>
  <c r="C31" i="9"/>
  <c r="AA7" i="9"/>
  <c r="C52" i="9"/>
  <c r="Y61" i="9"/>
  <c r="N6" i="9"/>
  <c r="AE69" i="9"/>
  <c r="AE41" i="9"/>
  <c r="E48" i="9"/>
  <c r="C83" i="9"/>
  <c r="V83" i="9"/>
  <c r="AE48" i="9"/>
  <c r="Y52" i="9"/>
  <c r="U54" i="9"/>
  <c r="AA41" i="9"/>
  <c r="I74" i="9"/>
  <c r="H52" i="9"/>
  <c r="AD18" i="9"/>
  <c r="AA58" i="9"/>
  <c r="Q18" i="9"/>
  <c r="P35" i="9"/>
  <c r="X38" i="9"/>
  <c r="T77" i="9"/>
  <c r="S18" i="9"/>
  <c r="N35" i="9"/>
  <c r="U29" i="9"/>
  <c r="L83" i="9"/>
  <c r="E54" i="9"/>
  <c r="E27" i="9"/>
  <c r="O79" i="9"/>
  <c r="U75" i="9"/>
  <c r="H35" i="9"/>
  <c r="AE19" i="9"/>
  <c r="AC6" i="9"/>
  <c r="V19" i="9"/>
  <c r="P18" i="9"/>
  <c r="U39" i="9"/>
  <c r="Y69" i="9"/>
  <c r="I69" i="9"/>
  <c r="AC50" i="9"/>
  <c r="R51" i="9"/>
  <c r="G13" i="9"/>
  <c r="J41" i="9"/>
  <c r="R18" i="9"/>
  <c r="I41" i="9"/>
  <c r="Y57" i="9"/>
  <c r="G33" i="9"/>
  <c r="B15" i="9"/>
  <c r="AG61" i="9"/>
  <c r="M70" i="9"/>
  <c r="N47" i="9"/>
  <c r="X9" i="9"/>
  <c r="AD30" i="9"/>
  <c r="AB18" i="9"/>
  <c r="I10" i="9"/>
  <c r="E12" i="9"/>
  <c r="S26" i="9"/>
  <c r="U14" i="9"/>
  <c r="R71" i="9"/>
  <c r="AD35" i="9"/>
  <c r="T29" i="9"/>
  <c r="W6" i="9"/>
  <c r="M62" i="9"/>
  <c r="S57" i="9"/>
  <c r="K32" i="9"/>
  <c r="F9" i="9"/>
  <c r="AC55" i="9"/>
  <c r="C58" i="9"/>
  <c r="Q5" i="9"/>
  <c r="AC7" i="9"/>
  <c r="AF38" i="9"/>
  <c r="AC59" i="9"/>
  <c r="D14" i="9"/>
  <c r="R79" i="9"/>
  <c r="AD26" i="9"/>
  <c r="Y83" i="9"/>
  <c r="W73" i="9"/>
  <c r="X31" i="9"/>
  <c r="S11" i="9"/>
  <c r="F52" i="9"/>
  <c r="G11" i="9"/>
  <c r="U12" i="9"/>
  <c r="M33" i="9"/>
  <c r="U68" i="9"/>
  <c r="S10" i="9"/>
  <c r="Q80" i="9"/>
  <c r="Q36" i="9"/>
  <c r="Z37" i="9"/>
  <c r="AG28" i="9"/>
  <c r="R69" i="9"/>
  <c r="J60" i="9"/>
  <c r="X30" i="9"/>
  <c r="U9" i="9"/>
  <c r="T81" i="9"/>
  <c r="Y72" i="9"/>
  <c r="Y68" i="9"/>
  <c r="B36" i="9"/>
  <c r="J32" i="9"/>
  <c r="E61" i="9"/>
  <c r="AE80" i="9"/>
  <c r="R5" i="9"/>
  <c r="F79" i="9"/>
  <c r="N18" i="9"/>
  <c r="J18" i="9"/>
  <c r="AE20" i="9"/>
  <c r="L72" i="9"/>
  <c r="P47" i="9"/>
  <c r="X56" i="9"/>
  <c r="AD83" i="9"/>
  <c r="V15" i="9"/>
  <c r="M60" i="9"/>
  <c r="B41" i="9"/>
  <c r="S17" i="9"/>
  <c r="S70" i="9"/>
  <c r="AF20" i="9"/>
  <c r="G8" i="9"/>
  <c r="P38" i="9"/>
  <c r="L11" i="9"/>
  <c r="P54" i="9"/>
  <c r="AE13" i="9"/>
  <c r="L48" i="9"/>
  <c r="U47" i="9"/>
  <c r="G60" i="9"/>
  <c r="AA76" i="9"/>
  <c r="T57" i="9"/>
  <c r="I32" i="9"/>
  <c r="G58" i="9"/>
  <c r="K34" i="9"/>
  <c r="T11" i="9"/>
  <c r="X26" i="9"/>
  <c r="T61" i="9"/>
  <c r="AF76" i="9"/>
  <c r="G56" i="9"/>
  <c r="P73" i="9"/>
  <c r="T18" i="9"/>
  <c r="AG47" i="9"/>
  <c r="G47" i="9"/>
  <c r="AA69" i="9"/>
  <c r="H61" i="9"/>
  <c r="D19" i="9"/>
  <c r="N80" i="9"/>
  <c r="W27" i="9"/>
  <c r="H70" i="9"/>
  <c r="V20" i="9"/>
  <c r="C5" i="9"/>
  <c r="K36" i="9"/>
  <c r="I57" i="9"/>
  <c r="T26" i="9"/>
  <c r="Q12" i="9"/>
  <c r="K17" i="9"/>
  <c r="Y78" i="9"/>
  <c r="AG34" i="9"/>
  <c r="R6" i="9"/>
  <c r="B12" i="9"/>
  <c r="O39" i="9"/>
  <c r="AC76" i="9"/>
  <c r="J82" i="9"/>
  <c r="X70" i="9"/>
  <c r="J16" i="9"/>
  <c r="B40" i="9"/>
  <c r="F80" i="9"/>
  <c r="AG76" i="9"/>
  <c r="T82" i="9"/>
  <c r="F50" i="9"/>
  <c r="Q72" i="9"/>
  <c r="S82" i="9"/>
  <c r="T69" i="9"/>
  <c r="U57" i="9"/>
  <c r="E83" i="9"/>
  <c r="X76" i="9"/>
  <c r="AD17" i="9"/>
  <c r="B13" i="9"/>
  <c r="K19" i="9"/>
  <c r="U70" i="9"/>
  <c r="N58" i="9"/>
  <c r="H59" i="9"/>
  <c r="D49" i="9"/>
  <c r="B17" i="9"/>
  <c r="J81" i="9"/>
  <c r="P51" i="9"/>
  <c r="D50" i="9"/>
  <c r="V27" i="9"/>
  <c r="E13" i="9"/>
  <c r="AG80" i="9"/>
  <c r="AG17" i="9"/>
  <c r="I53" i="9"/>
  <c r="X36" i="9"/>
  <c r="AG77" i="9"/>
  <c r="AD60" i="9"/>
  <c r="H72" i="9"/>
  <c r="G29" i="9"/>
  <c r="T10" i="9"/>
  <c r="U48" i="9"/>
  <c r="C8" i="9"/>
  <c r="E59" i="9"/>
  <c r="Q14" i="9"/>
  <c r="AC26" i="9"/>
  <c r="W57" i="9"/>
  <c r="W17" i="9"/>
  <c r="AD14" i="9"/>
  <c r="M57" i="9"/>
  <c r="AD71" i="9"/>
  <c r="N27" i="9"/>
  <c r="AB71" i="9"/>
  <c r="L80" i="9"/>
  <c r="V48" i="9"/>
  <c r="AC56" i="9"/>
  <c r="AB48" i="9"/>
  <c r="AG81" i="9"/>
  <c r="AA82" i="9"/>
  <c r="AF62" i="9"/>
  <c r="AE8" i="9"/>
  <c r="AB13" i="9"/>
  <c r="K71" i="9"/>
  <c r="I38" i="9"/>
  <c r="I72" i="9"/>
  <c r="AE31" i="9"/>
  <c r="X53" i="9"/>
  <c r="AE54" i="9"/>
  <c r="X74" i="9"/>
  <c r="Z28" i="9"/>
  <c r="H17" i="9"/>
  <c r="X75" i="9"/>
  <c r="Z68" i="9"/>
  <c r="U58" i="9"/>
  <c r="AF79" i="9"/>
  <c r="F60" i="9"/>
  <c r="Z80" i="9"/>
  <c r="AG6" i="9"/>
  <c r="I31" i="9"/>
  <c r="O50" i="9"/>
  <c r="AD79" i="9"/>
  <c r="X60" i="9"/>
  <c r="P72" i="9"/>
  <c r="F12" i="9"/>
  <c r="O68" i="9"/>
  <c r="Z77" i="9"/>
  <c r="P32" i="9"/>
  <c r="Z26" i="9"/>
  <c r="V69" i="9"/>
  <c r="I18" i="9"/>
  <c r="S6" i="9"/>
  <c r="K48" i="9"/>
  <c r="S8" i="9"/>
  <c r="O13" i="9"/>
  <c r="AB75" i="9"/>
  <c r="O12" i="9"/>
  <c r="O40" i="9"/>
  <c r="M76" i="9"/>
  <c r="P12" i="9"/>
  <c r="B39" i="9"/>
  <c r="J11" i="9"/>
  <c r="AA68" i="9"/>
  <c r="AB14" i="9"/>
  <c r="M48" i="9"/>
  <c r="Y16" i="9"/>
  <c r="Z5" i="9"/>
  <c r="C38" i="9"/>
  <c r="C62" i="9"/>
  <c r="AF14" i="9"/>
  <c r="S62" i="9"/>
  <c r="AD52" i="9"/>
  <c r="F7" i="9"/>
  <c r="X37" i="9"/>
  <c r="B71" i="9"/>
  <c r="I48" i="9"/>
  <c r="AC48" i="9"/>
  <c r="K55" i="9"/>
  <c r="AF18" i="9"/>
  <c r="R36" i="9"/>
  <c r="D10" i="9"/>
  <c r="N81" i="9"/>
  <c r="P39" i="9"/>
  <c r="J14" i="9"/>
  <c r="W34" i="9"/>
  <c r="R53" i="9"/>
  <c r="AB61" i="9"/>
  <c r="V56" i="9"/>
  <c r="H27" i="9"/>
  <c r="Q73" i="9"/>
  <c r="Y14" i="9"/>
  <c r="AD34" i="9"/>
  <c r="T28" i="9"/>
  <c r="G20" i="9"/>
  <c r="Q31" i="9"/>
  <c r="B79" i="9"/>
  <c r="Z16" i="9"/>
  <c r="L56" i="9"/>
  <c r="Q35" i="9"/>
  <c r="T80" i="9"/>
  <c r="V8" i="9"/>
  <c r="E77" i="9"/>
  <c r="AE61" i="9"/>
  <c r="AE57" i="9"/>
  <c r="B74" i="9"/>
  <c r="AF49" i="9"/>
  <c r="O41" i="9"/>
  <c r="M82" i="9"/>
  <c r="N33" i="9"/>
  <c r="J15" i="9"/>
  <c r="U74" i="9"/>
  <c r="I54" i="9"/>
  <c r="T9" i="9"/>
  <c r="O72" i="9"/>
  <c r="E28" i="9"/>
  <c r="AD80" i="9"/>
  <c r="AB12" i="9"/>
  <c r="X12" i="9"/>
  <c r="C17" i="9"/>
  <c r="C68" i="9"/>
  <c r="Y73" i="9"/>
  <c r="Y71" i="9"/>
  <c r="AD36" i="9"/>
  <c r="R7" i="9"/>
  <c r="C47" i="9"/>
  <c r="K69" i="9"/>
  <c r="AC15" i="9"/>
  <c r="T78" i="9"/>
  <c r="P56" i="9"/>
  <c r="G37" i="9"/>
  <c r="B69" i="9"/>
  <c r="H38" i="9"/>
  <c r="H53" i="9"/>
  <c r="AD54" i="9"/>
  <c r="O70" i="9"/>
  <c r="F39" i="9"/>
  <c r="B68" i="9"/>
  <c r="O78" i="9"/>
  <c r="AF68" i="9"/>
  <c r="B83" i="9"/>
  <c r="W72" i="9"/>
  <c r="G35" i="9"/>
  <c r="N29" i="9"/>
  <c r="O5" i="9"/>
  <c r="O47" i="9"/>
  <c r="AF37" i="9"/>
  <c r="N82" i="9"/>
  <c r="Q77" i="9"/>
  <c r="AC8" i="9"/>
  <c r="W38" i="9"/>
  <c r="AG14" i="9"/>
  <c r="J55" i="9"/>
  <c r="AF70" i="9"/>
  <c r="Z72" i="9"/>
  <c r="P34" i="9"/>
  <c r="AC38" i="9"/>
  <c r="C60" i="9"/>
  <c r="F83" i="9"/>
  <c r="S32" i="9"/>
  <c r="T36" i="9"/>
  <c r="J10" i="9"/>
  <c r="Z51" i="9"/>
  <c r="M32" i="9"/>
  <c r="X54" i="9"/>
  <c r="Z78" i="9"/>
  <c r="AB58" i="9"/>
  <c r="L17" i="9"/>
  <c r="AB11" i="9"/>
  <c r="AD28" i="9"/>
  <c r="R11" i="9"/>
  <c r="S69" i="9"/>
  <c r="C70" i="9"/>
  <c r="AG38" i="9"/>
  <c r="T49" i="9"/>
  <c r="V54" i="9"/>
  <c r="R9" i="9"/>
  <c r="E62" i="9"/>
  <c r="W69" i="9"/>
  <c r="S78" i="9"/>
  <c r="J39" i="9"/>
  <c r="AC70" i="9"/>
  <c r="R80" i="9"/>
  <c r="I27" i="9"/>
  <c r="M69" i="9"/>
  <c r="X27" i="9"/>
  <c r="O37" i="9"/>
  <c r="M35" i="9"/>
  <c r="R32" i="9"/>
  <c r="U72" i="9"/>
  <c r="Q75" i="9"/>
  <c r="J20" i="9"/>
  <c r="I29" i="9"/>
  <c r="H74" i="9"/>
  <c r="AF82" i="9"/>
  <c r="X77" i="9"/>
  <c r="F29" i="9"/>
  <c r="S28" i="9"/>
  <c r="K47" i="9"/>
  <c r="Z14" i="9"/>
  <c r="Q70" i="9"/>
  <c r="B49" i="9"/>
  <c r="AA9" i="9"/>
  <c r="U40" i="9"/>
  <c r="AC28" i="9"/>
  <c r="K57" i="9"/>
  <c r="AB15" i="9"/>
  <c r="P28" i="9"/>
  <c r="AB59" i="9"/>
  <c r="AE30" i="9"/>
  <c r="C61" i="9"/>
  <c r="AG5" i="9"/>
  <c r="S75" i="9"/>
  <c r="R57" i="9"/>
  <c r="I68" i="9"/>
  <c r="M8" i="9"/>
  <c r="I14" i="9"/>
  <c r="R38" i="9"/>
  <c r="R55" i="9"/>
  <c r="O82" i="9"/>
  <c r="T34" i="9"/>
  <c r="C50" i="9"/>
  <c r="AB8" i="9"/>
  <c r="H75" i="9"/>
  <c r="AF6" i="9"/>
  <c r="K15" i="9"/>
  <c r="S51" i="9"/>
  <c r="W26" i="9"/>
  <c r="AA57" i="9"/>
  <c r="L39" i="9"/>
  <c r="I36" i="9"/>
  <c r="X72" i="9"/>
  <c r="S48" i="9"/>
  <c r="M29" i="9"/>
  <c r="C78" i="9"/>
  <c r="Y17" i="9"/>
  <c r="AD82" i="9"/>
  <c r="P53" i="9"/>
  <c r="U82" i="9"/>
  <c r="D26" i="9"/>
  <c r="AF50" i="9"/>
  <c r="J83" i="9"/>
  <c r="E29" i="9"/>
  <c r="F53" i="9"/>
  <c r="Q29" i="9"/>
  <c r="J29" i="9"/>
  <c r="Z7" i="9"/>
  <c r="AC73" i="9"/>
  <c r="S53" i="9"/>
  <c r="AB36" i="9"/>
  <c r="J71" i="9"/>
  <c r="AB41" i="9"/>
  <c r="AE72" i="9"/>
  <c r="B33" i="9"/>
  <c r="R28" i="9"/>
  <c r="AC69" i="9"/>
  <c r="F13" i="9"/>
  <c r="E20" i="9"/>
  <c r="AF61" i="9"/>
  <c r="T6" i="9"/>
  <c r="L35" i="9"/>
  <c r="G57" i="9"/>
  <c r="D5" i="9"/>
  <c r="T56" i="9"/>
  <c r="E56" i="9"/>
  <c r="L28" i="9"/>
  <c r="U31" i="9"/>
  <c r="Z69" i="9"/>
  <c r="S55" i="9"/>
  <c r="V31" i="9"/>
  <c r="K54" i="9"/>
  <c r="B81" i="9"/>
  <c r="AC36" i="9"/>
  <c r="V71" i="9"/>
  <c r="Y29" i="9"/>
  <c r="H7" i="9"/>
  <c r="D61" i="9"/>
  <c r="J7" i="9"/>
  <c r="AE6" i="9"/>
  <c r="D75" i="9"/>
  <c r="E71" i="9"/>
  <c r="M36" i="9"/>
  <c r="AA61" i="9"/>
  <c r="J57" i="9"/>
  <c r="AE7" i="9"/>
  <c r="AC5" i="9"/>
  <c r="S35" i="9"/>
  <c r="H71" i="9"/>
  <c r="D8" i="9"/>
  <c r="L68" i="9"/>
  <c r="M37" i="9"/>
  <c r="AF19" i="9"/>
  <c r="B50" i="9"/>
  <c r="S76" i="9"/>
  <c r="AD20" i="9"/>
  <c r="AB17" i="9"/>
  <c r="Q61" i="9"/>
  <c r="G76" i="9"/>
  <c r="AF26" i="9"/>
  <c r="N62" i="9"/>
  <c r="P79" i="9"/>
  <c r="I37" i="9"/>
  <c r="S33" i="9"/>
  <c r="AA30" i="9"/>
  <c r="X47" i="9"/>
  <c r="D71" i="9"/>
  <c r="AG49" i="9"/>
  <c r="L26" i="9"/>
  <c r="D62" i="9"/>
  <c r="AG62" i="9"/>
  <c r="AF54" i="9"/>
  <c r="AG10" i="9"/>
  <c r="V12" i="9"/>
  <c r="AB56" i="9"/>
  <c r="G31" i="9"/>
  <c r="AG37" i="9"/>
  <c r="AB31" i="9"/>
  <c r="I19" i="9"/>
  <c r="AG68" i="9"/>
  <c r="T51" i="9"/>
  <c r="C55" i="9"/>
  <c r="C69" i="9"/>
  <c r="L7" i="9"/>
  <c r="AG75" i="9"/>
  <c r="D76" i="9"/>
  <c r="F59" i="9"/>
  <c r="M19" i="9"/>
  <c r="D73" i="9"/>
  <c r="K20" i="9"/>
  <c r="O76" i="9"/>
  <c r="AA19" i="9"/>
  <c r="W78" i="9"/>
  <c r="U18" i="9"/>
  <c r="E69" i="9"/>
  <c r="AE16" i="9"/>
  <c r="F81" i="9"/>
  <c r="N17" i="9"/>
  <c r="Y32" i="9"/>
  <c r="H60" i="9"/>
  <c r="AD61" i="9"/>
  <c r="L37" i="9"/>
  <c r="B78" i="9"/>
  <c r="M79" i="9"/>
  <c r="N32" i="9"/>
  <c r="AF81" i="9"/>
  <c r="E57" i="9"/>
  <c r="AG53" i="9"/>
  <c r="F19" i="9"/>
  <c r="AA83" i="9"/>
  <c r="G32" i="9"/>
  <c r="T62" i="9"/>
  <c r="AD50" i="9"/>
  <c r="AA33" i="9"/>
  <c r="J75" i="9"/>
  <c r="O19" i="9"/>
  <c r="Q74" i="9"/>
  <c r="L14" i="9"/>
  <c r="K9" i="9"/>
  <c r="G27" i="9"/>
  <c r="P81" i="9"/>
  <c r="G77" i="9"/>
  <c r="AD38" i="9"/>
  <c r="G62" i="9"/>
  <c r="AE74" i="9"/>
  <c r="X81" i="9"/>
  <c r="X29" i="9"/>
  <c r="S15" i="9"/>
  <c r="P20" i="9"/>
  <c r="G12" i="9"/>
  <c r="G18" i="9"/>
  <c r="X50" i="9"/>
  <c r="B6" i="9"/>
  <c r="S79" i="9"/>
  <c r="J13" i="9"/>
  <c r="Q26" i="9"/>
  <c r="AA17" i="9"/>
  <c r="P49" i="9"/>
  <c r="U76" i="9"/>
  <c r="I39" i="9"/>
  <c r="Y81" i="9"/>
  <c r="V76" i="9"/>
  <c r="M12" i="9"/>
  <c r="AB28" i="9"/>
  <c r="B20" i="9"/>
  <c r="L6" i="9"/>
  <c r="S29" i="9"/>
  <c r="C19" i="9"/>
  <c r="M5" i="9"/>
  <c r="AC53" i="9"/>
  <c r="U6" i="9"/>
  <c r="W68" i="9"/>
  <c r="B9" i="9"/>
  <c r="P58" i="9"/>
  <c r="R13" i="9"/>
  <c r="F71" i="9"/>
  <c r="Q60" i="9"/>
  <c r="N28" i="9"/>
  <c r="Y18" i="9"/>
  <c r="G72" i="9"/>
  <c r="I26" i="9"/>
  <c r="K39" i="9"/>
  <c r="L82" i="9"/>
  <c r="X7" i="9"/>
  <c r="X58" i="9"/>
  <c r="N19" i="9"/>
  <c r="D68" i="9"/>
  <c r="L73" i="9"/>
  <c r="AE18" i="9"/>
  <c r="D17" i="9"/>
  <c r="B62" i="9"/>
  <c r="U10" i="9"/>
  <c r="AC35" i="9"/>
  <c r="Z29" i="9"/>
  <c r="Y56" i="9"/>
  <c r="AE83" i="9"/>
  <c r="K58" i="9"/>
  <c r="T19" i="9"/>
  <c r="M71" i="9"/>
  <c r="E53" i="9"/>
  <c r="Y26" i="9"/>
  <c r="AA73" i="9"/>
  <c r="AA78" i="9"/>
  <c r="Y55" i="9"/>
  <c r="Y7" i="9"/>
  <c r="T79" i="9"/>
  <c r="I81" i="9"/>
  <c r="Y49" i="9"/>
  <c r="W50" i="9"/>
  <c r="AA18" i="9"/>
  <c r="I9" i="9"/>
  <c r="V9" i="9"/>
  <c r="AF7" i="9"/>
  <c r="E80" i="9"/>
  <c r="AG59" i="9"/>
  <c r="AA79" i="9"/>
  <c r="AB57" i="9"/>
  <c r="D33" i="9"/>
  <c r="R17" i="9"/>
  <c r="W79" i="9"/>
  <c r="L9" i="9"/>
  <c r="V51" i="9"/>
  <c r="AG50" i="9"/>
  <c r="E35" i="9"/>
  <c r="AG41" i="9"/>
  <c r="T70" i="9"/>
  <c r="M34" i="9"/>
  <c r="B19" i="9"/>
  <c r="F41" i="9"/>
  <c r="K6" i="9"/>
  <c r="AB27" i="9"/>
  <c r="E14" i="9"/>
  <c r="AD15" i="9"/>
  <c r="E5" i="9"/>
  <c r="S36" i="9"/>
  <c r="Z52" i="9"/>
  <c r="Q17" i="9"/>
  <c r="AE82" i="9"/>
  <c r="U55" i="9"/>
  <c r="V74" i="9"/>
  <c r="O38" i="9"/>
  <c r="Y38" i="9"/>
  <c r="H37" i="9"/>
  <c r="H39" i="9"/>
  <c r="X52" i="9"/>
  <c r="AA35" i="9"/>
  <c r="AG57" i="9"/>
  <c r="S9" i="9"/>
  <c r="X82" i="9"/>
  <c r="X35" i="9"/>
  <c r="S34" i="9"/>
  <c r="AC10" i="9"/>
  <c r="AD59" i="9"/>
  <c r="N54" i="9"/>
  <c r="AB33" i="9"/>
  <c r="W18" i="9"/>
  <c r="AG26" i="9"/>
  <c r="D59" i="9"/>
  <c r="P7" i="9"/>
  <c r="AG60" i="9"/>
  <c r="O36" i="9"/>
  <c r="AA11" i="9"/>
  <c r="Y54" i="9"/>
  <c r="AF59" i="9"/>
  <c r="L31" i="9"/>
  <c r="B82" i="9"/>
  <c r="AF39" i="9"/>
  <c r="J31" i="9"/>
  <c r="AG54" i="9"/>
  <c r="P83" i="9"/>
  <c r="AF75" i="9"/>
  <c r="P71" i="9"/>
  <c r="K60" i="9"/>
  <c r="G34" i="9"/>
  <c r="AB52" i="9"/>
  <c r="D20" i="9"/>
  <c r="L12" i="9"/>
  <c r="T32" i="9"/>
  <c r="AD77" i="9"/>
  <c r="C7" i="9"/>
  <c r="S12" i="9"/>
  <c r="O60" i="9"/>
  <c r="AE60" i="9"/>
  <c r="Y36" i="9"/>
  <c r="R35" i="9"/>
  <c r="T72" i="9"/>
  <c r="AA47" i="9"/>
  <c r="AG36" i="9"/>
  <c r="E36" i="9"/>
  <c r="B14" i="9"/>
  <c r="J77" i="9"/>
  <c r="V58" i="9"/>
  <c r="T83" i="9"/>
  <c r="W53" i="9"/>
  <c r="M53" i="9"/>
  <c r="AA55" i="9"/>
  <c r="T55" i="9"/>
  <c r="AB6" i="9"/>
  <c r="O55" i="9"/>
  <c r="K10" i="9"/>
  <c r="H10" i="9"/>
  <c r="V28" i="9"/>
  <c r="AC57" i="9"/>
  <c r="I5" i="9"/>
  <c r="C54" i="9"/>
  <c r="N78" i="9"/>
  <c r="N49" i="9"/>
  <c r="Y60" i="9"/>
  <c r="B76" i="9"/>
  <c r="W35" i="9"/>
  <c r="R61" i="9"/>
  <c r="O20" i="9"/>
  <c r="J50" i="9"/>
  <c r="S68" i="9"/>
  <c r="C82" i="9"/>
  <c r="Q10" i="9"/>
  <c r="W52" i="9"/>
  <c r="N15" i="9"/>
  <c r="AA81" i="9"/>
  <c r="AA8" i="9"/>
  <c r="W10" i="9"/>
  <c r="AA32" i="9"/>
  <c r="I76" i="9"/>
  <c r="M10" i="9"/>
  <c r="Q68" i="9"/>
  <c r="P70" i="9"/>
  <c r="L49" i="9"/>
  <c r="Z32" i="9"/>
  <c r="O17" i="9"/>
  <c r="S14" i="9"/>
  <c r="U73" i="9"/>
  <c r="Q52" i="9"/>
  <c r="Q82" i="9"/>
  <c r="H34" i="9"/>
  <c r="L77" i="9"/>
  <c r="K11" i="9"/>
  <c r="X28" i="9"/>
  <c r="AC58" i="9"/>
  <c r="I15" i="9"/>
  <c r="Y47" i="9"/>
  <c r="K50" i="9"/>
  <c r="Z54" i="9"/>
  <c r="AG55" i="9"/>
  <c r="G36" i="9"/>
  <c r="D69" i="9"/>
  <c r="I35" i="9"/>
  <c r="V40" i="9"/>
  <c r="N50" i="9"/>
  <c r="AF51" i="9"/>
  <c r="AA16" i="9"/>
  <c r="AA51" i="9"/>
  <c r="Y20" i="9"/>
  <c r="AG39" i="9"/>
  <c r="AC19" i="9"/>
  <c r="AC27" i="9"/>
  <c r="C14" i="9"/>
  <c r="AE37" i="9"/>
  <c r="X19" i="9"/>
  <c r="B35" i="9"/>
  <c r="N61" i="9"/>
  <c r="I80" i="9"/>
  <c r="AE76" i="9"/>
  <c r="AB47" i="9"/>
  <c r="I34" i="9"/>
  <c r="S77" i="9"/>
  <c r="P17" i="9"/>
  <c r="B8" i="9"/>
  <c r="AD5" i="9"/>
  <c r="AD11" i="9"/>
  <c r="N56" i="9"/>
  <c r="I20" i="9"/>
  <c r="I11" i="9"/>
  <c r="X32" i="9"/>
  <c r="AB79" i="9"/>
  <c r="W5" i="9"/>
  <c r="G70" i="9"/>
  <c r="X8" i="9"/>
  <c r="AE49" i="9"/>
  <c r="D82" i="9"/>
  <c r="AD27" i="9"/>
  <c r="M15" i="9"/>
  <c r="Y80" i="9"/>
  <c r="D48" i="9"/>
  <c r="AG8" i="9"/>
  <c r="AA34" i="9"/>
  <c r="G69" i="9"/>
  <c r="Q11" i="9"/>
  <c r="B37" i="9"/>
  <c r="K49" i="9"/>
  <c r="AD10" i="9"/>
  <c r="AA80" i="9"/>
  <c r="O6" i="9"/>
  <c r="AE56" i="9"/>
  <c r="X10" i="9"/>
  <c r="F11" i="9"/>
  <c r="H54" i="9"/>
  <c r="S31" i="9"/>
  <c r="AE53" i="9"/>
  <c r="W32" i="9"/>
  <c r="K56" i="9"/>
  <c r="J9" i="9"/>
  <c r="R31" i="9"/>
  <c r="L33" i="9"/>
  <c r="B34" i="9"/>
  <c r="L78" i="9"/>
  <c r="Y5" i="9"/>
  <c r="O28" i="9"/>
  <c r="D32" i="9"/>
  <c r="AB9" i="9"/>
  <c r="L47" i="9"/>
  <c r="J80" i="9"/>
  <c r="O73" i="9"/>
  <c r="B30" i="9"/>
  <c r="X41" i="9"/>
  <c r="X49" i="9"/>
  <c r="AD62" i="9"/>
  <c r="L19" i="9"/>
  <c r="H80" i="9"/>
  <c r="U37" i="9"/>
  <c r="AC29" i="9"/>
  <c r="F18" i="9"/>
  <c r="Z17" i="9"/>
  <c r="AF58" i="9"/>
  <c r="W58" i="9"/>
  <c r="L27" i="9"/>
  <c r="S30" i="9"/>
  <c r="X6" i="9"/>
  <c r="I8" i="9"/>
  <c r="Q53" i="9"/>
  <c r="U8" i="9"/>
  <c r="AA27" i="9"/>
  <c r="T58" i="9"/>
  <c r="J54" i="9"/>
  <c r="Q40" i="9"/>
  <c r="F75" i="9"/>
  <c r="AE52" i="9"/>
  <c r="V82" i="9"/>
  <c r="AF17" i="9"/>
  <c r="U69" i="9"/>
  <c r="L61" i="9"/>
  <c r="V32" i="9"/>
  <c r="R40" i="9"/>
  <c r="H82" i="9"/>
  <c r="Y28" i="9"/>
  <c r="C34" i="9"/>
  <c r="AE15" i="9"/>
  <c r="V50" i="9"/>
  <c r="Z13" i="9"/>
  <c r="V73" i="9"/>
  <c r="V17" i="9"/>
  <c r="D31" i="9"/>
  <c r="M7" i="9"/>
  <c r="AB82" i="9"/>
  <c r="E49" i="9"/>
  <c r="G53" i="9"/>
  <c r="U59" i="9"/>
  <c r="AG73" i="9"/>
  <c r="AG51" i="9"/>
  <c r="L15" i="9"/>
  <c r="I16" i="9"/>
  <c r="AF16" i="9"/>
  <c r="I79" i="9"/>
  <c r="N5" i="9"/>
  <c r="Q34" i="9"/>
  <c r="O75" i="9"/>
  <c r="K33" i="9"/>
  <c r="G50" i="9"/>
  <c r="AB83" i="9"/>
  <c r="G71" i="9"/>
  <c r="AF31" i="9"/>
  <c r="X57" i="9"/>
  <c r="O83" i="9"/>
  <c r="AF13" i="9"/>
  <c r="G41" i="9"/>
  <c r="N51" i="9"/>
  <c r="P8" i="9"/>
  <c r="AG18" i="9"/>
  <c r="S80" i="9"/>
  <c r="P26" i="9"/>
  <c r="AG13" i="9"/>
  <c r="X13" i="9"/>
  <c r="B73" i="9"/>
  <c r="AD70" i="9"/>
  <c r="AC37" i="9"/>
  <c r="J68" i="9"/>
  <c r="J49" i="9"/>
  <c r="AF71" i="9"/>
  <c r="J26" i="9"/>
  <c r="R39" i="9"/>
  <c r="D83" i="9"/>
  <c r="J72" i="9"/>
  <c r="Q30" i="9"/>
  <c r="P57" i="9"/>
  <c r="AC79" i="9"/>
  <c r="Y50" i="9"/>
  <c r="AE5" i="9"/>
  <c r="C20" i="9"/>
  <c r="AE50" i="9"/>
  <c r="Q78" i="9"/>
  <c r="B61" i="9"/>
  <c r="X14" i="9"/>
  <c r="D74" i="9"/>
  <c r="AD78" i="9"/>
  <c r="AA14" i="9"/>
  <c r="AE47" i="9"/>
  <c r="O71" i="9"/>
  <c r="R37" i="9"/>
  <c r="M39" i="9"/>
  <c r="D41" i="9"/>
  <c r="P6" i="9"/>
  <c r="P50" i="9"/>
  <c r="I49" i="9"/>
  <c r="M26" i="9"/>
  <c r="I60" i="9"/>
  <c r="K77" i="9"/>
  <c r="H28" i="9"/>
  <c r="X71" i="9"/>
  <c r="B32" i="9"/>
  <c r="H76" i="9"/>
  <c r="H18" i="9"/>
  <c r="O33" i="9"/>
  <c r="Y35" i="9"/>
  <c r="E68" i="9"/>
  <c r="AB30" i="9"/>
  <c r="J37" i="9"/>
  <c r="AD57" i="9"/>
  <c r="O80" i="9"/>
  <c r="O11" i="9"/>
  <c r="R70" i="9"/>
  <c r="R14" i="9"/>
  <c r="F30" i="9"/>
  <c r="B5" i="9"/>
  <c r="U17" i="9"/>
  <c r="N48" i="9"/>
  <c r="H6" i="9"/>
  <c r="AA5" i="9"/>
  <c r="M18" i="9"/>
  <c r="Z71" i="9"/>
  <c r="J47" i="9"/>
  <c r="V11" i="9"/>
  <c r="H20" i="9"/>
  <c r="T74" i="9"/>
  <c r="M40" i="9"/>
  <c r="I51" i="9"/>
  <c r="AG72" i="9"/>
  <c r="F70" i="9"/>
  <c r="N53" i="9"/>
  <c r="S19" i="9"/>
  <c r="AB73" i="9"/>
</calcChain>
</file>

<file path=xl/comments1.xml><?xml version="1.0" encoding="utf-8"?>
<comments xmlns="http://schemas.openxmlformats.org/spreadsheetml/2006/main">
  <authors>
    <author>jmarks</author>
  </authors>
  <commentList>
    <comment ref="A1" author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List>
</comments>
</file>

<file path=xl/comments2.xml><?xml version="1.0" encoding="utf-8"?>
<comments xmlns="http://schemas.openxmlformats.org/spreadsheetml/2006/main">
  <authors>
    <author>jmarks</author>
  </authors>
  <commentList>
    <comment ref="A1" author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List>
</comments>
</file>

<file path=xl/comments3.xml><?xml version="1.0" encoding="utf-8"?>
<comments xmlns="http://schemas.openxmlformats.org/spreadsheetml/2006/main">
  <authors>
    <author>mloverde</author>
    <author>Alicia A. Diaz</author>
    <author>JLM</author>
    <author>Lee, Cynthia M.</author>
    <author>jmarks</author>
    <author>adiaz</author>
  </authors>
  <commentList>
    <comment ref="F2" authorId="0">
      <text>
        <r>
          <rPr>
            <b/>
            <sz val="11"/>
            <color indexed="81"/>
            <rFont val="Tahoma"/>
            <family val="2"/>
          </rPr>
          <t>Five specialized schools ("15's") with significant e-learning offerings are included in this survey section: 
Southern Polytechnic State University, 
University of Maryland University College, 
North Carolina School of the Arts, 
Virginia Military Institute, and the 
West Virginia School of Osteopathic Medicine.
Other 15s should not be included without checking with Joe.</t>
        </r>
      </text>
    </comment>
    <comment ref="D20" authorId="1">
      <text>
        <r>
          <rPr>
            <b/>
            <sz val="8"/>
            <color indexed="81"/>
            <rFont val="Tahoma"/>
            <family val="2"/>
          </rPr>
          <t>No Freshmen, Upper Level school - will not have data in every section.</t>
        </r>
      </text>
    </comment>
    <comment ref="A83" authorId="2">
      <text>
        <r>
          <rPr>
            <b/>
            <sz val="10"/>
            <color indexed="81"/>
            <rFont val="Tahoma"/>
            <family val="2"/>
          </rPr>
          <t>JLM:</t>
        </r>
        <r>
          <rPr>
            <sz val="10"/>
            <color indexed="81"/>
            <rFont val="Tahoma"/>
            <family val="2"/>
          </rPr>
          <t xml:space="preserve">
Use 75% rule for e-learning.</t>
        </r>
      </text>
    </comment>
    <comment ref="B131" authorId="3">
      <text>
        <r>
          <rPr>
            <b/>
            <sz val="8"/>
            <color indexed="81"/>
            <rFont val="Tahoma"/>
            <family val="2"/>
          </rPr>
          <t>Lee, Cynthia M.:</t>
        </r>
        <r>
          <rPr>
            <sz val="8"/>
            <color indexed="81"/>
            <rFont val="Tahoma"/>
            <family val="2"/>
          </rPr>
          <t xml:space="preserve">
DeKalb was renamed to Georgia Piedmont as of 10/1/11</t>
        </r>
      </text>
    </comment>
    <comment ref="A238" authorId="4">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X554" authorId="5">
      <text>
        <r>
          <rPr>
            <b/>
            <sz val="8"/>
            <color indexed="81"/>
            <rFont val="Tahoma"/>
            <family val="2"/>
          </rPr>
          <t>West Liberty
The increase in graduate activity, in general, is due to West Liberty offering a graduate program of their own, as opposed to grad programs they have offered collaboratively with other of our institutions.  As far as why their grad student activity seems to be all off-campus, they made use of a new off-campus facility for students in this program.
Jeannie:  I think this is a left over comment from before 2009-10.</t>
        </r>
      </text>
    </comment>
    <comment ref="H565" authorId="5">
      <text>
        <r>
          <rPr>
            <b/>
            <sz val="8"/>
            <color indexed="81"/>
            <rFont val="Tahoma"/>
            <family val="2"/>
          </rPr>
          <t>New River
New River was once a community college component (CCC) of Bluefield State College.  Back in those days, the classes offered at this CCC were considered off-campus to Bluefield.  When New River became its own community and technical college, the coding was not switched over which is why last year, it appeared as if they had barely any on-campus activity.  This year’s “increase” is due to correcting that coding.
Jeannie:  I think this comment is a left over from before 2009-10.</t>
        </r>
      </text>
    </comment>
  </commentList>
</comments>
</file>

<file path=xl/connections.xml><?xml version="1.0" encoding="utf-8"?>
<connections xmlns="http://schemas.openxmlformats.org/spreadsheetml/2006/main">
  <connection id="1" name="Type10ug5" type="6" refreshedVersion="3" background="1" saveData="1">
    <textPr codePage="437" sourceFile="\\THECB-AUVFS41\UserDoc$\MeadDD\My Documents\My SAS Files\SREB\QWK03864\Page5\Type10ug5.txt">
      <textFields>
        <textField/>
      </textFields>
    </textPr>
  </connection>
  <connection id="2" name="Type11gr1" type="6" refreshedVersion="4" background="1" saveData="1">
    <textPr codePage="437" sourceFile="\\THECB-AUVFS41\UserDoc$\MeadDD\My Documents\My SAS Files\SREB\QWK04245\Page5\Type11gr1.txt">
      <textFields>
        <textField/>
      </textFields>
    </textPr>
  </connection>
  <connection id="3" name="Type11gr2" type="6" refreshedVersion="4" background="1" saveData="1">
    <textPr codePage="437" sourceFile="\\THECB-AUVFS41\UserDoc$\MeadDD\My Documents\My SAS Files\SREB\QWK04245\Page5\Type11gr2.txt">
      <textFields>
        <textField/>
      </textFields>
    </textPr>
  </connection>
  <connection id="4" name="Type11gr3" type="6" refreshedVersion="4" background="1" saveData="1">
    <textPr codePage="437" sourceFile="\\THECB-AUVFS41\UserDoc$\MeadDD\My Documents\My SAS Files\SREB\QWK04245\Page5\Type11gr3.txt">
      <textFields>
        <textField/>
      </textFields>
    </textPr>
  </connection>
  <connection id="5" name="Type11gr4" type="6" refreshedVersion="4" background="1" saveData="1">
    <textPr codePage="437" sourceFile="\\THECB-AUVFS41\UserDoc$\MeadDD\My Documents\My SAS Files\SREB\QWK04245\Page5\Type11gr4.txt">
      <textFields>
        <textField/>
      </textFields>
    </textPr>
  </connection>
  <connection id="6" name="Type11gr5" type="6" refreshedVersion="4" background="1" saveData="1">
    <textPr codePage="437" sourceFile="\\THECB-AUVFS41\UserDoc$\MeadDD\My Documents\My SAS Files\SREB\QWK04245\Page5\Type11gr5.txt">
      <textFields>
        <textField/>
      </textFields>
    </textPr>
  </connection>
  <connection id="7" name="Type11ug1" type="6" refreshedVersion="4" background="1" saveData="1">
    <textPr codePage="437" sourceFile="\\THECB-AUVFS41\UserDoc$\MeadDD\My Documents\My SAS Files\SREB\QWK04245\Page5\Type11ug1.txt">
      <textFields>
        <textField/>
      </textFields>
    </textPr>
  </connection>
  <connection id="8" name="Type11ug2" type="6" refreshedVersion="4" background="1" saveData="1">
    <textPr codePage="437" sourceFile="\\THECB-AUVFS41\UserDoc$\MeadDD\My Documents\My SAS Files\SREB\QWK04245\Page5\Type11ug2.txt">
      <textFields>
        <textField/>
      </textFields>
    </textPr>
  </connection>
  <connection id="9" name="Type11ug3" type="6" refreshedVersion="4" background="1" saveData="1">
    <textPr codePage="437" sourceFile="\\THECB-AUVFS41\UserDoc$\MeadDD\My Documents\My SAS Files\SREB\QWK04245\Page5\Type11ug3.txt">
      <textFields>
        <textField/>
      </textFields>
    </textPr>
  </connection>
  <connection id="10" name="Type11ug4" type="6" refreshedVersion="4" background="1" saveData="1">
    <textPr codePage="437" sourceFile="\\THECB-AUVFS41\UserDoc$\MeadDD\My Documents\My SAS Files\SREB\QWK04245\Page5\Type11ug4.txt">
      <textFields>
        <textField/>
      </textFields>
    </textPr>
  </connection>
  <connection id="11" name="Type11ug5" type="6" refreshedVersion="4" background="1" saveData="1">
    <textPr codePage="437" sourceFile="\\THECB-AUVFS41\UserDoc$\MeadDD\My Documents\My SAS Files\SREB\QWK04245\Page5\Type11ug5.txt">
      <textFields>
        <textField/>
      </textFields>
    </textPr>
  </connection>
</connections>
</file>

<file path=xl/sharedStrings.xml><?xml version="1.0" encoding="utf-8"?>
<sst xmlns="http://schemas.openxmlformats.org/spreadsheetml/2006/main" count="3852" uniqueCount="901">
  <si>
    <t>Undergraduate Credit Hours</t>
  </si>
  <si>
    <t>Graduate Credit Hours</t>
  </si>
  <si>
    <t>Calculated</t>
  </si>
  <si>
    <t>e-Learning (more than 50% of course content is electronically delivered)</t>
  </si>
  <si>
    <t>State</t>
  </si>
  <si>
    <t>Institution</t>
  </si>
  <si>
    <t>Category</t>
  </si>
  <si>
    <t>Web</t>
  </si>
  <si>
    <t>ID</t>
  </si>
  <si>
    <t>type</t>
  </si>
  <si>
    <t>OLD-Tot UG SCH Calc</t>
  </si>
  <si>
    <t>NEW-Tot UG SCH Calc</t>
  </si>
  <si>
    <t>Old-UG OnC Trad</t>
  </si>
  <si>
    <t>New-UG OnC Trad</t>
  </si>
  <si>
    <t>Old-UG OffC Trad</t>
  </si>
  <si>
    <t>New-UG OffC Trad</t>
  </si>
  <si>
    <t>Old-UG EL Web</t>
  </si>
  <si>
    <t>Old-UG EL CV</t>
  </si>
  <si>
    <t>Old-UG EL O</t>
  </si>
  <si>
    <t>New-UG EL Web</t>
  </si>
  <si>
    <t>New-UG EL CV</t>
  </si>
  <si>
    <t>New-UG EL O</t>
  </si>
  <si>
    <t>Old-UG Cor</t>
  </si>
  <si>
    <t>New-UG Cor</t>
  </si>
  <si>
    <t>Old-Tot G SCH Calc</t>
  </si>
  <si>
    <t>New-Tot G SCH Calc</t>
  </si>
  <si>
    <t>Old-G OnC Trad</t>
  </si>
  <si>
    <t>New-G OnC Trad</t>
  </si>
  <si>
    <t>Old-G OffC Trad</t>
  </si>
  <si>
    <t>New-G OffC Trad</t>
  </si>
  <si>
    <t>Old-G EL Web</t>
  </si>
  <si>
    <t>Old-G EL CV</t>
  </si>
  <si>
    <t>Old-G EL O</t>
  </si>
  <si>
    <t>New-G EL Web</t>
  </si>
  <si>
    <t>New-G EL CV</t>
  </si>
  <si>
    <t>New-G EL O</t>
  </si>
  <si>
    <t>Old-G Cor</t>
  </si>
  <si>
    <t>New-G Cor</t>
  </si>
  <si>
    <t>AL</t>
  </si>
  <si>
    <t xml:space="preserve"> </t>
  </si>
  <si>
    <t>AR</t>
  </si>
  <si>
    <t>University of Arkansas, Fayetteville</t>
  </si>
  <si>
    <t>Arkansas State University</t>
  </si>
  <si>
    <t>University of Arkansas at Little Rock</t>
  </si>
  <si>
    <t xml:space="preserve">University of Central Arkansas </t>
  </si>
  <si>
    <t>Arkansas Tech University</t>
  </si>
  <si>
    <t>Henderson State University</t>
  </si>
  <si>
    <t>Southern Arkansas University</t>
  </si>
  <si>
    <t>University of Arkansas at Monticello</t>
  </si>
  <si>
    <t>University of Arkansas at Fort Smith</t>
  </si>
  <si>
    <t>University of Arkansas at Pine Bluff</t>
  </si>
  <si>
    <t>Pulaski Technical College</t>
  </si>
  <si>
    <t>Arkansas State University-Beebe</t>
  </si>
  <si>
    <t xml:space="preserve">Northwest Arkansas Community College </t>
  </si>
  <si>
    <t>Arkansas Northeastern College</t>
  </si>
  <si>
    <t>Arkansas State University Mountain Home</t>
  </si>
  <si>
    <t>Arkansas State University-Newport</t>
  </si>
  <si>
    <t>Black River Technical College</t>
  </si>
  <si>
    <t>Cossatot Community College of the University of Arkansas</t>
  </si>
  <si>
    <t xml:space="preserve">East Arkansas Community College </t>
  </si>
  <si>
    <t xml:space="preserve">Mid-South Community College </t>
  </si>
  <si>
    <t>National Park Community College</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</si>
  <si>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</si>
  <si>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</si>
  <si>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</si>
  <si>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</si>
  <si>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</si>
  <si>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</si>
  <si>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</si>
  <si>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</si>
  <si>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</si>
  <si>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</si>
  <si>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DE</t>
  </si>
  <si>
    <t>FL</t>
  </si>
  <si>
    <t>GA</t>
  </si>
  <si>
    <t>KY</t>
  </si>
  <si>
    <t>LA</t>
  </si>
  <si>
    <t>MD</t>
  </si>
  <si>
    <t>MS</t>
  </si>
  <si>
    <t>NC</t>
  </si>
  <si>
    <t>OK</t>
  </si>
  <si>
    <t>SC</t>
  </si>
  <si>
    <t>TN</t>
  </si>
  <si>
    <t>TX</t>
  </si>
  <si>
    <t>VA</t>
  </si>
  <si>
    <t>WV</t>
  </si>
  <si>
    <t>Type2</t>
  </si>
  <si>
    <t>Four-Year</t>
  </si>
  <si>
    <t>Two-Year</t>
  </si>
  <si>
    <t>Technical</t>
  </si>
  <si>
    <t>Data</t>
  </si>
  <si>
    <t xml:space="preserve"> Old %UG OnC Trad</t>
  </si>
  <si>
    <t xml:space="preserve"> New %UG OnC Trad</t>
  </si>
  <si>
    <t xml:space="preserve"> Change %UG OnC Trad</t>
  </si>
  <si>
    <t xml:space="preserve"> Old %UG OffC Trad</t>
  </si>
  <si>
    <t xml:space="preserve"> New %UG OffC Trad</t>
  </si>
  <si>
    <t xml:space="preserve"> Change %UG OffC Trad</t>
  </si>
  <si>
    <t xml:space="preserve"> Old %UG EL Web</t>
  </si>
  <si>
    <t xml:space="preserve"> New %UG EL Web</t>
  </si>
  <si>
    <t xml:space="preserve"> Change %UG EL Web</t>
  </si>
  <si>
    <t xml:space="preserve"> Old %UG EL CV</t>
  </si>
  <si>
    <t xml:space="preserve"> New %UG EL CV</t>
  </si>
  <si>
    <t xml:space="preserve"> Change %UG EL CV</t>
  </si>
  <si>
    <t xml:space="preserve"> Old %UG EL O</t>
  </si>
  <si>
    <t xml:space="preserve"> New %UG EL O</t>
  </si>
  <si>
    <t xml:space="preserve"> Change %UG EL O</t>
  </si>
  <si>
    <t xml:space="preserve"> Old %UG Cor</t>
  </si>
  <si>
    <t xml:space="preserve"> New %UG Cor</t>
  </si>
  <si>
    <t xml:space="preserve"> Change %UG Cor</t>
  </si>
  <si>
    <t xml:space="preserve"> Old %G OnC Trad</t>
  </si>
  <si>
    <t xml:space="preserve"> New %G OnC Trad</t>
  </si>
  <si>
    <t xml:space="preserve"> Change %G OnC Trad</t>
  </si>
  <si>
    <t xml:space="preserve"> Old %G OffC Trad</t>
  </si>
  <si>
    <t xml:space="preserve"> New %G OffC Trad</t>
  </si>
  <si>
    <t xml:space="preserve"> Change %G OffC Trad</t>
  </si>
  <si>
    <t xml:space="preserve"> Old %G EL Web</t>
  </si>
  <si>
    <t xml:space="preserve"> New %G EL Web</t>
  </si>
  <si>
    <t xml:space="preserve"> Change %G EL Web</t>
  </si>
  <si>
    <t xml:space="preserve"> Old %G EL CV</t>
  </si>
  <si>
    <t xml:space="preserve"> New %G EL CV</t>
  </si>
  <si>
    <t xml:space="preserve"> Change %G EL CV</t>
  </si>
  <si>
    <t xml:space="preserve"> Old %G EL O</t>
  </si>
  <si>
    <t xml:space="preserve"> New %G EL O</t>
  </si>
  <si>
    <t xml:space="preserve"> Change %G EL O</t>
  </si>
  <si>
    <t xml:space="preserve"> Old %G Cor</t>
  </si>
  <si>
    <t xml:space="preserve"> New %G Cor</t>
  </si>
  <si>
    <t xml:space="preserve"> Change %G Cor</t>
  </si>
  <si>
    <t>Total  Old %UG OnC Trad</t>
  </si>
  <si>
    <t>Total  New %UG OnC Trad</t>
  </si>
  <si>
    <t>Total  Change %UG OnC Trad</t>
  </si>
  <si>
    <t>Total  Old %UG OffC Trad</t>
  </si>
  <si>
    <t>Total  New %UG OffC Trad</t>
  </si>
  <si>
    <t>Total  Change %UG OffC Trad</t>
  </si>
  <si>
    <t>Total  Old %UG EL Web</t>
  </si>
  <si>
    <t>Total  New %UG EL Web</t>
  </si>
  <si>
    <t>Total  Change %UG EL Web</t>
  </si>
  <si>
    <t>Total  Old %UG EL CV</t>
  </si>
  <si>
    <t>Total  New %UG EL CV</t>
  </si>
  <si>
    <t>Total  Change %UG EL CV</t>
  </si>
  <si>
    <t>Total  Old %UG EL O</t>
  </si>
  <si>
    <t>Total  New %UG EL O</t>
  </si>
  <si>
    <t>Total  Change %UG EL O</t>
  </si>
  <si>
    <t>Total  Old %UG Cor</t>
  </si>
  <si>
    <t>Total  New %UG Cor</t>
  </si>
  <si>
    <t>Total  Change %UG Cor</t>
  </si>
  <si>
    <t>Total  Old %G OnC Trad</t>
  </si>
  <si>
    <t>Total  New %G OnC Trad</t>
  </si>
  <si>
    <t>Total  Change %G OnC Trad</t>
  </si>
  <si>
    <t>Total  Old %G OffC Trad</t>
  </si>
  <si>
    <t>Total  New %G OffC Trad</t>
  </si>
  <si>
    <t>Total  Change %G OffC Trad</t>
  </si>
  <si>
    <t>Total  Old %G EL Web</t>
  </si>
  <si>
    <t>Total  New %G EL Web</t>
  </si>
  <si>
    <t>Total  Change %G EL Web</t>
  </si>
  <si>
    <t>Total  Old %G EL CV</t>
  </si>
  <si>
    <t>Total  New %G EL CV</t>
  </si>
  <si>
    <t>Total  Change %G EL CV</t>
  </si>
  <si>
    <t>Total  Old %G EL O</t>
  </si>
  <si>
    <t>Total  New %G EL O</t>
  </si>
  <si>
    <t>Total  Change %G EL O</t>
  </si>
  <si>
    <t>Total  Old %G Cor</t>
  </si>
  <si>
    <t>Total  New %G Cor</t>
  </si>
  <si>
    <t>Total  Change %G Cor</t>
  </si>
  <si>
    <t>NOT a Review Table</t>
  </si>
  <si>
    <t>Sum of OLD-Tot UG SCH Calc</t>
  </si>
  <si>
    <t>Sum of Old UG E-Learning</t>
  </si>
  <si>
    <t>Sum of Old-Tot G SCH Calc</t>
  </si>
  <si>
    <t>Sum of Old G E-Learning</t>
  </si>
  <si>
    <t>Sum of NEW-Tot UG SCH Calc</t>
  </si>
  <si>
    <t>Sum of New UG E-Learning</t>
  </si>
  <si>
    <t>Sum of New-Tot G SCH Calc</t>
  </si>
  <si>
    <t>Sum of New G E-Learning</t>
  </si>
  <si>
    <t>Table 87</t>
  </si>
  <si>
    <t>All</t>
  </si>
  <si>
    <t>with bachs.</t>
  </si>
  <si>
    <t>Alabama</t>
  </si>
  <si>
    <t>Arkansas</t>
  </si>
  <si>
    <t>Delaware</t>
  </si>
  <si>
    <t>Florida</t>
  </si>
  <si>
    <t>Georgia</t>
  </si>
  <si>
    <t>Kentucky</t>
  </si>
  <si>
    <t>Louisiana</t>
  </si>
  <si>
    <r>
      <t>Maryland</t>
    </r>
    <r>
      <rPr>
        <vertAlign val="superscript"/>
        <sz val="10"/>
        <rFont val="Arial"/>
        <family val="2"/>
      </rPr>
      <t>1</t>
    </r>
  </si>
  <si>
    <t>Mississippi</t>
  </si>
  <si>
    <t>North Carolina</t>
  </si>
  <si>
    <t>Oklahoma</t>
  </si>
  <si>
    <t>South Carolina</t>
  </si>
  <si>
    <t>Tennessee</t>
  </si>
  <si>
    <t>Texas</t>
  </si>
  <si>
    <t>Virginia</t>
  </si>
  <si>
    <t>West Virginia</t>
  </si>
  <si>
    <r>
      <t xml:space="preserve">1 </t>
    </r>
    <r>
      <rPr>
        <sz val="8"/>
        <rFont val="Arial"/>
        <family val="2"/>
      </rPr>
      <t>The "all four-year" figure includes University of Maryland University College.</t>
    </r>
  </si>
  <si>
    <t>Table 88</t>
  </si>
  <si>
    <r>
      <t>Florida</t>
    </r>
    <r>
      <rPr>
        <vertAlign val="superscript"/>
        <sz val="10"/>
        <rFont val="Arial"/>
        <family val="2"/>
      </rPr>
      <t>1</t>
    </r>
  </si>
  <si>
    <r>
      <t>Maryland</t>
    </r>
    <r>
      <rPr>
        <vertAlign val="superscript"/>
        <sz val="10"/>
        <rFont val="Arial"/>
        <family val="2"/>
      </rPr>
      <t>2</t>
    </r>
  </si>
  <si>
    <r>
      <t>Mississippi</t>
    </r>
    <r>
      <rPr>
        <vertAlign val="superscript"/>
        <sz val="10"/>
        <rFont val="Arial"/>
        <family val="2"/>
      </rPr>
      <t>1</t>
    </r>
  </si>
  <si>
    <r>
      <t>1</t>
    </r>
    <r>
      <rPr>
        <sz val="8"/>
        <rFont val="Arial"/>
        <family val="2"/>
      </rPr>
      <t xml:space="preserve"> The university system in Florida uses an 80 percent rule; Florida's community colleges and Mississippi's community and junior colleges use a 75 percent rule to define e-learning so their figures here are likely lower than they would be if they used the 50 percent rule.</t>
    </r>
  </si>
  <si>
    <r>
      <t>2</t>
    </r>
    <r>
      <rPr>
        <sz val="8"/>
        <rFont val="Arial"/>
        <family val="2"/>
      </rPr>
      <t xml:space="preserve"> The "all four-year" figure includes University of Maryland University College.</t>
    </r>
  </si>
  <si>
    <t>Table 89</t>
  </si>
  <si>
    <t>Percent of Graduate Instructional Activity</t>
  </si>
  <si>
    <t xml:space="preserve"> in Traditional Classroom Instruction</t>
  </si>
  <si>
    <r>
      <t>1</t>
    </r>
    <r>
      <rPr>
        <sz val="8"/>
        <rFont val="Arial"/>
        <family val="2"/>
      </rPr>
      <t xml:space="preserve"> The "all four-year" figure includes University of Maryland University College.</t>
    </r>
  </si>
  <si>
    <t>Table 90</t>
  </si>
  <si>
    <t>Percent of Graduate Instructional Activity in e-Learning</t>
  </si>
  <si>
    <r>
      <t>1</t>
    </r>
    <r>
      <rPr>
        <sz val="8"/>
        <rFont val="Arial"/>
        <family val="2"/>
      </rPr>
      <t xml:space="preserve"> The university system in Florida uses an 80 percent rule to define e-learning so their figures here are likely lower than they would be if they used the 50 percent rule.</t>
    </r>
  </si>
  <si>
    <t>Undergraduate Instructional Activity by Type of Instruction</t>
  </si>
  <si>
    <t>Graduate Instructional Activity by Type of Instruction</t>
  </si>
  <si>
    <t>Percent of Total</t>
  </si>
  <si>
    <t>Traditional</t>
  </si>
  <si>
    <t>e-Learning</t>
  </si>
  <si>
    <t>On-Campus</t>
  </si>
  <si>
    <t>Off-Campus</t>
  </si>
  <si>
    <t>Subtotal</t>
  </si>
  <si>
    <t>2-Way Compressed Video</t>
  </si>
  <si>
    <r>
      <t>Other</t>
    </r>
    <r>
      <rPr>
        <b/>
        <vertAlign val="superscript"/>
        <sz val="9"/>
        <rFont val="Arial"/>
        <family val="2"/>
      </rPr>
      <t>1</t>
    </r>
  </si>
  <si>
    <t>Corre- spondence</t>
  </si>
  <si>
    <t>check figs</t>
  </si>
  <si>
    <r>
      <t>Florida</t>
    </r>
    <r>
      <rPr>
        <vertAlign val="superscript"/>
        <sz val="10"/>
        <rFont val="Arial"/>
        <family val="2"/>
      </rPr>
      <t>2</t>
    </r>
  </si>
  <si>
    <r>
      <t>Maryland</t>
    </r>
    <r>
      <rPr>
        <vertAlign val="superscript"/>
        <sz val="10"/>
        <rFont val="Arial"/>
        <family val="2"/>
      </rPr>
      <t>3</t>
    </r>
  </si>
  <si>
    <r>
      <t>1</t>
    </r>
    <r>
      <rPr>
        <sz val="8"/>
        <rFont val="Arial"/>
        <family val="2"/>
      </rPr>
      <t>Courses delivered via satellite, cable TV, broadcast TV/radio, closed-circuit TV, video tape, CD-ROMS, e-mail, etc.</t>
    </r>
  </si>
  <si>
    <r>
      <t>2</t>
    </r>
    <r>
      <rPr>
        <sz val="8"/>
        <rFont val="Arial"/>
        <family val="2"/>
      </rPr>
      <t>The university system in Florida uses an 80 percent rule to define e-learning so their figures here are likely lower than they would be if they used the 50 percent rule.</t>
    </r>
  </si>
  <si>
    <r>
      <t>3</t>
    </r>
    <r>
      <rPr>
        <sz val="8"/>
        <rFont val="Arial"/>
        <family val="2"/>
      </rPr>
      <t>This "all four-year" table includes the University of Maryland University College.</t>
    </r>
  </si>
  <si>
    <t>Maryland</t>
  </si>
  <si>
    <r>
      <t>2</t>
    </r>
    <r>
      <rPr>
        <sz val="8"/>
        <rFont val="Arial"/>
        <family val="2"/>
      </rPr>
      <t>The university system in Florida uses a 75 percent rule to define e-learning so their figures here are likely lower than they would be if they used the 50 percent rule.</t>
    </r>
  </si>
  <si>
    <r>
      <t>Mississippi</t>
    </r>
    <r>
      <rPr>
        <vertAlign val="superscript"/>
        <sz val="10"/>
        <rFont val="Arial"/>
        <family val="2"/>
      </rPr>
      <t>2</t>
    </r>
  </si>
  <si>
    <r>
      <t>2</t>
    </r>
    <r>
      <rPr>
        <sz val="8"/>
        <rFont val="Arial"/>
        <family val="2"/>
      </rPr>
      <t>Florida and Mississippi Community Colleges define e-learning when 75 percent of course content is delivered electronically so the figures reported here are likely lower than they would be if they employed a 50 percent rule.</t>
    </r>
  </si>
  <si>
    <r>
      <t>West Virginia</t>
    </r>
    <r>
      <rPr>
        <vertAlign val="superscript"/>
        <sz val="10"/>
        <rFont val="Arial"/>
        <family val="2"/>
      </rPr>
      <t>3</t>
    </r>
  </si>
  <si>
    <t>Total UG SCH</t>
  </si>
  <si>
    <t>4-year</t>
  </si>
  <si>
    <t>2-year</t>
  </si>
  <si>
    <t>Tech</t>
  </si>
  <si>
    <t>Total</t>
  </si>
  <si>
    <t>E-Learning UG SCH</t>
  </si>
  <si>
    <t>Total G SCH</t>
  </si>
  <si>
    <t>E-Learning G SCH</t>
  </si>
  <si>
    <t>Change</t>
  </si>
  <si>
    <t>4-Yr</t>
  </si>
  <si>
    <t>2-Yr</t>
  </si>
  <si>
    <t>IPEDS #</t>
  </si>
  <si>
    <r>
      <t xml:space="preserve">On-Campus "Traditional" Instruction
 </t>
    </r>
    <r>
      <rPr>
        <sz val="10"/>
        <rFont val="Arial"/>
        <family val="2"/>
      </rPr>
      <t>(significant site attendance required--50% or less of course content is electronically delivered)</t>
    </r>
  </si>
  <si>
    <r>
      <t xml:space="preserve">Off-Campus
(in-state or out-of-state sites) "Traditional" Instruction 
</t>
    </r>
    <r>
      <rPr>
        <sz val="10"/>
        <rFont val="Arial"/>
        <family val="2"/>
      </rPr>
      <t>(significant site attendance required--50% or less of course content is electronically delivered)</t>
    </r>
  </si>
  <si>
    <r>
      <t xml:space="preserve">Site-to-Site, 2-Way, Audio/Video </t>
    </r>
    <r>
      <rPr>
        <sz val="10"/>
        <rFont val="Arial"/>
        <family val="2"/>
      </rPr>
      <t>(compressed video)</t>
    </r>
  </si>
  <si>
    <r>
      <t xml:space="preserve">Other </t>
    </r>
    <r>
      <rPr>
        <sz val="10"/>
        <rFont val="Arial"/>
        <family val="2"/>
      </rPr>
      <t xml:space="preserve">(Satellite, Cable, Broadcast TV/Radio, Closed-Circuit, Video Tapes, CD ROM)             </t>
    </r>
  </si>
  <si>
    <r>
      <t xml:space="preserve">Other
</t>
    </r>
    <r>
      <rPr>
        <sz val="10"/>
        <rFont val="Arial"/>
        <family val="2"/>
      </rPr>
      <t xml:space="preserve"> (Satellite, Cable, Broadcast TV/Radio, Closed-Circuit, Video Tapes, CD ROM)            </t>
    </r>
    <r>
      <rPr>
        <b/>
        <sz val="10"/>
        <rFont val="Arial"/>
        <family val="2"/>
      </rPr>
      <t xml:space="preserve"> </t>
    </r>
  </si>
  <si>
    <r>
      <t xml:space="preserve">Correspondence
</t>
    </r>
    <r>
      <rPr>
        <sz val="10"/>
        <rFont val="Arial"/>
        <family val="2"/>
      </rPr>
      <t xml:space="preserve">(no significant site attendance required-less than 50% of the course content is electronically delivered)     </t>
    </r>
  </si>
  <si>
    <r>
      <t xml:space="preserve">Total Graduate SCH </t>
    </r>
    <r>
      <rPr>
        <sz val="10"/>
        <color rgb="FF0000FF"/>
        <rFont val="Arial"/>
        <family val="2"/>
      </rPr>
      <t xml:space="preserve">
(a sum of columns --should match totals from Part 3)</t>
    </r>
  </si>
  <si>
    <t>Note</t>
  </si>
  <si>
    <t>Public Technical Institutes or Colleges 2, 2010</t>
  </si>
  <si>
    <t>Public Technical Institutes or Colleges 1, 2010</t>
  </si>
  <si>
    <t>Public Technical Institutes or Colleges, 2010</t>
  </si>
  <si>
    <t>Public Two-Year 3 Institutions, 2010</t>
  </si>
  <si>
    <t>Public Two-Year 2 Institutions, 2010</t>
  </si>
  <si>
    <t>Public Two-Year 1 Institutions, 2010</t>
  </si>
  <si>
    <t>Public Two-Year with Bachelor's Institutions, 2010</t>
  </si>
  <si>
    <t>Public Two-Year, 2010</t>
  </si>
  <si>
    <t>Public Four-Year 6 Institutions, 2010</t>
  </si>
  <si>
    <t>Public Four-Year 5 Institutions, 2010</t>
  </si>
  <si>
    <t>Public Four-Year 4 Institutions, 2010</t>
  </si>
  <si>
    <t>Public Four-Year 3 Institutions, 2010</t>
  </si>
  <si>
    <t>Public Four-Year 2 Institutions, 2010</t>
  </si>
  <si>
    <t>Public Four-Year 1 Institutions, 2010</t>
  </si>
  <si>
    <t>Public Four-Year Institutions, 2010</t>
  </si>
  <si>
    <t>by Type of Institution, 2010</t>
  </si>
  <si>
    <t>Percent of Undergraduate Instructional Activity in e-Learning by Type of Institution, 2010</t>
  </si>
  <si>
    <t>Percent of Undergraduate Instructional Activity in Traditional Classroom Instruction by Type of Institution, 2010</t>
  </si>
  <si>
    <t>Table 91</t>
  </si>
  <si>
    <t>Table 92</t>
  </si>
  <si>
    <t>Table 93</t>
  </si>
  <si>
    <t>Table 94</t>
  </si>
  <si>
    <t>Table 95</t>
  </si>
  <si>
    <t>Table 96</t>
  </si>
  <si>
    <t>Table 97</t>
  </si>
  <si>
    <t>Table 98</t>
  </si>
  <si>
    <t>Table 99</t>
  </si>
  <si>
    <t>Table 100</t>
  </si>
  <si>
    <t>Table 101</t>
  </si>
  <si>
    <t>Table 102</t>
  </si>
  <si>
    <t>Table 103</t>
  </si>
  <si>
    <t>Table 104</t>
  </si>
  <si>
    <t>Table 105</t>
  </si>
  <si>
    <t>Table 106</t>
  </si>
  <si>
    <t>Table 107</t>
  </si>
  <si>
    <t>Table 108</t>
  </si>
  <si>
    <t>Table 109</t>
  </si>
  <si>
    <t>Table 110</t>
  </si>
  <si>
    <t>Table 111</t>
  </si>
  <si>
    <t>Table 112</t>
  </si>
  <si>
    <t>99</t>
  </si>
  <si>
    <r>
      <t xml:space="preserve">Data Columns:  </t>
    </r>
    <r>
      <rPr>
        <sz val="10"/>
        <rFont val="Arial"/>
        <family val="2"/>
      </rPr>
      <t xml:space="preserve">White = New Data, Peach = Old Data, Purple/Grey = Calculated Data. </t>
    </r>
    <r>
      <rPr>
        <b/>
        <sz val="10"/>
        <rFont val="Arial"/>
        <family val="2"/>
      </rPr>
      <t xml:space="preserve"> Please highlight changes in YELLOW</t>
    </r>
  </si>
  <si>
    <t>Comments:  Please look for comments and answer questions; add comments as needed</t>
  </si>
  <si>
    <t>Classification Notes</t>
  </si>
  <si>
    <t>Part 5: Credit/Contact Hours by Mode of Instruction</t>
  </si>
  <si>
    <r>
      <t xml:space="preserve">Total Undergraduate SCH
</t>
    </r>
    <r>
      <rPr>
        <sz val="8"/>
        <color rgb="FF0000FF"/>
        <rFont val="Arial"/>
        <family val="2"/>
      </rPr>
      <t>(Should equal totals in Part 4.)</t>
    </r>
    <r>
      <rPr>
        <sz val="10"/>
        <color rgb="FF0000FF"/>
        <rFont val="Arial"/>
        <family val="2"/>
      </rPr>
      <t xml:space="preserve"> </t>
    </r>
  </si>
  <si>
    <t>Met the criteria for Four-Year 3 in 2010-11 and 2011-12.</t>
  </si>
  <si>
    <t>Reclassified: met the criteria for Four-Year 4 in 2009-10, 2010-11 and 2011-12.</t>
  </si>
  <si>
    <t>Reclassified: met the criteria for Two-Year 1 in 2009-10, 2010-11 and 2011-12.</t>
  </si>
  <si>
    <t>Met the criteria for Two-Year 2 in 2010-11 and 2011-12.</t>
  </si>
  <si>
    <t>College of the Ouachitas</t>
  </si>
  <si>
    <t>Formerly Ouachita Technical College.</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</si>
  <si>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</si>
  <si>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</si>
  <si>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</si>
  <si>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</si>
  <si>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</si>
  <si>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</si>
  <si>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</si>
  <si>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</si>
  <si>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</si>
  <si>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</si>
  <si>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</si>
  <si>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</si>
  <si>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</si>
  <si>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</si>
  <si>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Jefferson State Community College</t>
  </si>
  <si>
    <t xml:space="preserve">John C. Calhoun State Community College </t>
  </si>
  <si>
    <t>Bevill State Community College</t>
  </si>
  <si>
    <t>Bishop State Community College</t>
  </si>
  <si>
    <t>Gadsden State Community College</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</si>
  <si>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</si>
  <si>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</si>
  <si>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</si>
  <si>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</si>
  <si>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</si>
  <si>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</si>
  <si>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</si>
  <si>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</si>
  <si>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</si>
  <si>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</si>
  <si>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</si>
  <si>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Enterprise State Community College</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</si>
  <si>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</si>
  <si>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</si>
  <si>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</si>
  <si>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</si>
  <si>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</si>
  <si>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</si>
  <si>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</si>
  <si>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</si>
  <si>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Florida International University</t>
  </si>
  <si>
    <t xml:space="preserve">Florida State University </t>
  </si>
  <si>
    <t xml:space="preserve">University of Central Florida </t>
  </si>
  <si>
    <t>University of Florida</t>
  </si>
  <si>
    <t xml:space="preserve">University of South Florida </t>
  </si>
  <si>
    <t xml:space="preserve">Florida Atlantic University </t>
  </si>
  <si>
    <t xml:space="preserve">Florida Agricultural &amp; Mechanical University </t>
  </si>
  <si>
    <t>University of North Florida</t>
  </si>
  <si>
    <t>University of West Florida</t>
  </si>
  <si>
    <t>Florida Gulf Coast University</t>
  </si>
  <si>
    <t>New College of Florida</t>
  </si>
  <si>
    <t>Albany Technical College</t>
  </si>
  <si>
    <t>Altamaha Technical College</t>
  </si>
  <si>
    <t>Athens Technical College</t>
  </si>
  <si>
    <t>Atlanta Technical College</t>
  </si>
  <si>
    <t>Augusta Technical College</t>
  </si>
  <si>
    <t>Central Georgia Technical College</t>
  </si>
  <si>
    <t>Chattahoochee Technical College</t>
  </si>
  <si>
    <t>Columbus Technical College</t>
  </si>
  <si>
    <t>Georgia Northwestern Technical College</t>
  </si>
  <si>
    <t>Georgia Piedmont Technical College</t>
  </si>
  <si>
    <t>Formerly DeKalb Technical College.</t>
  </si>
  <si>
    <t>Gwinnett Technical College</t>
  </si>
  <si>
    <t>Lanier Technical College</t>
  </si>
  <si>
    <t>Middle Georgia Technical College</t>
  </si>
  <si>
    <t>Moultrie Technical College</t>
  </si>
  <si>
    <t>North Georgia Technical College</t>
  </si>
  <si>
    <t>Ogeechee Technical College</t>
  </si>
  <si>
    <t>Okefenokee Technical College</t>
  </si>
  <si>
    <t>Savannah Technical College</t>
  </si>
  <si>
    <t>South Georgia Technical College</t>
  </si>
  <si>
    <t>Southeastern Technical College</t>
  </si>
  <si>
    <t>Southern Crescent Technical College</t>
  </si>
  <si>
    <t>Southwest Georgia Technical College</t>
  </si>
  <si>
    <t>West Georgia Technical College</t>
  </si>
  <si>
    <t>Wiregrass Georgia Technical College</t>
  </si>
  <si>
    <t>Oconee Fall Line Technical College</t>
  </si>
  <si>
    <t>Is the merger of Heart of Georgia Tech and Sandersville Tech</t>
  </si>
  <si>
    <t>Met the criteria for Four-Year 2 in 2010-11 and 2011-12.</t>
  </si>
  <si>
    <t>Met the criteria for Four-Year 2 in 2011-12.</t>
  </si>
  <si>
    <t>Reclassified: Met the criteria for Two-Year 1 in 2009-10, 2010-11 and 2011-12.</t>
  </si>
  <si>
    <t>Reclassified: Met the criteria for Two-Year 2 in 2009-10, 2010-11 and 2011-12.</t>
  </si>
  <si>
    <t>Reclassified: Met the criteria for Two-Year 2 in 2009-10, 2010-11 and 2011-12. Formerly listed as Enterprise-Ozark Community College -- name changed in 2009.</t>
  </si>
  <si>
    <t>Met the criteria for Two-Year 2 in 2011-12.</t>
  </si>
  <si>
    <t>Met the criteria for Technical Institute 1 in 2010-11 and 2011-12.</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</si>
  <si>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</si>
  <si>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</si>
  <si>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</si>
  <si>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</si>
  <si>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</si>
  <si>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</si>
  <si>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</si>
  <si>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</si>
  <si>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 xml:space="preserve">North Carolina State University </t>
  </si>
  <si>
    <t xml:space="preserve">University of North Carolina at Chapel Hill </t>
  </si>
  <si>
    <t>University of North Carolina at Charlotte</t>
  </si>
  <si>
    <t>University of North Carolina at Greensboro</t>
  </si>
  <si>
    <t xml:space="preserve">Appalachian State University </t>
  </si>
  <si>
    <t xml:space="preserve">East Carolina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</si>
  <si>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</si>
  <si>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</si>
  <si>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</si>
  <si>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</si>
  <si>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</si>
  <si>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</si>
  <si>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</si>
  <si>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</si>
  <si>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</si>
  <si>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 xml:space="preserve">Texas A &amp; 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</si>
  <si>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</si>
  <si>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</si>
  <si>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</si>
  <si>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</si>
  <si>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</si>
  <si>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</si>
  <si>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</si>
  <si>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</si>
  <si>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</si>
  <si>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</si>
  <si>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</si>
  <si>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</si>
  <si>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</si>
  <si>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</si>
  <si>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</si>
  <si>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</si>
  <si>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</si>
  <si>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International University</t>
  </si>
  <si>
    <t>Texas A &amp; M University - Commerce</t>
  </si>
  <si>
    <t xml:space="preserve">Texas A &amp; M University-Corpus Christi </t>
  </si>
  <si>
    <t>Texas A &amp; M University-Kingsville</t>
  </si>
  <si>
    <t xml:space="preserve">Texas Southern University </t>
  </si>
  <si>
    <t xml:space="preserve">Texas State University - San Marcos </t>
  </si>
  <si>
    <t xml:space="preserve">University of Houston-Clear Lake </t>
  </si>
  <si>
    <t>University of Texas at Brownsville</t>
  </si>
  <si>
    <t>University of Texas at Tyler</t>
  </si>
  <si>
    <t>University of Texas-Pan American</t>
  </si>
  <si>
    <t>West Texas A &amp; M University</t>
  </si>
  <si>
    <t>Texas A &amp; M -Texarkana</t>
  </si>
  <si>
    <t>University of Houston-Victoria</t>
  </si>
  <si>
    <t>University of Texas of the Permian Basin</t>
  </si>
  <si>
    <t>Sul Ross State University-Rio Grande College</t>
  </si>
  <si>
    <t>228501B</t>
  </si>
  <si>
    <t>University of Houston-Downtown</t>
  </si>
  <si>
    <t>Texas A &amp; 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</si>
  <si>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</si>
  <si>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</si>
  <si>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</si>
  <si>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</si>
  <si>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</si>
  <si>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</si>
  <si>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</si>
  <si>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</si>
  <si>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</si>
  <si>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</si>
  <si>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</si>
  <si>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</si>
  <si>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</si>
  <si>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</si>
  <si>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</si>
  <si>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</si>
  <si>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</si>
  <si>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</si>
  <si>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</si>
  <si>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</si>
  <si>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</si>
  <si>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</si>
  <si>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</si>
  <si>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</si>
  <si>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</si>
  <si>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</si>
  <si>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</si>
  <si>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</si>
  <si>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 xml:space="preserve">Texas Southmost College </t>
  </si>
  <si>
    <t xml:space="preserve">Tyler Junior College </t>
  </si>
  <si>
    <t xml:space="preserve">Alvin Community College </t>
  </si>
  <si>
    <t xml:space="preserve">Angelina College </t>
  </si>
  <si>
    <t>Cedar Valley College (DCCCD)</t>
  </si>
  <si>
    <t xml:space="preserve">Cisco Junior College </t>
  </si>
  <si>
    <t>Coastal Bend College</t>
  </si>
  <si>
    <t>College of the Mainland</t>
  </si>
  <si>
    <t xml:space="preserve">Grayson County College </t>
  </si>
  <si>
    <t>Hill College</t>
  </si>
  <si>
    <t>Howard College (HCJCD)</t>
  </si>
  <si>
    <t xml:space="preserve">Kilgore College </t>
  </si>
  <si>
    <t>Lamar Institute of Technology</t>
  </si>
  <si>
    <t xml:space="preserve">Lee College </t>
  </si>
  <si>
    <t>Mountain View College  (DCCCD)</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</si>
  <si>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</si>
  <si>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</si>
  <si>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</si>
  <si>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</si>
  <si>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</si>
  <si>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</si>
  <si>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Texas State Technical College-Waco</t>
  </si>
  <si>
    <t>Trinity Valley Community College</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</si>
  <si>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</si>
  <si>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</si>
  <si>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</si>
  <si>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</si>
  <si>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</si>
  <si>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</si>
  <si>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</si>
  <si>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</si>
  <si>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Lamar State College-Port Arthur</t>
  </si>
  <si>
    <t>Northeast Lakeview College (ACCD)</t>
  </si>
  <si>
    <t>???</t>
  </si>
  <si>
    <t xml:space="preserve">Northeast Texas Community College </t>
  </si>
  <si>
    <t>Panola College</t>
  </si>
  <si>
    <t xml:space="preserve">Ranger College </t>
  </si>
  <si>
    <t>Southwest Collegiate Institute for the Deaf (HCJCD)</t>
  </si>
  <si>
    <t>Texas State Technical College-Marshall</t>
  </si>
  <si>
    <t>Texas State Technical College-West Texas</t>
  </si>
  <si>
    <t xml:space="preserve">Western Texas College </t>
  </si>
  <si>
    <t>Texas A &amp; M University - Central Texas</t>
  </si>
  <si>
    <t>Texas A &amp; M University - San Antonio</t>
  </si>
  <si>
    <t>870501</t>
  </si>
  <si>
    <t>University of North Texas at Dallas</t>
  </si>
  <si>
    <t>New fall 2009. No degrees yet granted.</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</si>
  <si>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</si>
  <si>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</si>
  <si>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</si>
  <si>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</si>
  <si>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</si>
  <si>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</si>
  <si>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</si>
  <si>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</si>
  <si>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</si>
  <si>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</si>
  <si>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Potomac State College of West Virginia University</t>
  </si>
  <si>
    <t>West Virginia University at Parkersburg</t>
  </si>
  <si>
    <t>Blue Ridge Community &amp; Technical College</t>
  </si>
  <si>
    <t>Bridgemont Community &amp; Technical College</t>
  </si>
  <si>
    <t>Eastern West Virginia Community &amp; Technical College</t>
  </si>
  <si>
    <t>Kanawha Valley Community &amp; Technical College</t>
  </si>
  <si>
    <t>Mountwest Community &amp; Technical College</t>
  </si>
  <si>
    <t>New River Community &amp; Technical College</t>
  </si>
  <si>
    <t>Pierpont Community &amp; Technical College</t>
  </si>
  <si>
    <t xml:space="preserve">Southern West Virginia Community &amp; Technical College </t>
  </si>
  <si>
    <t>West Virginia Northern Community College</t>
  </si>
  <si>
    <t>Met the criteria for Four-Year 1 in 2011-12.</t>
  </si>
  <si>
    <t>Reclassified: met the criteria for Four-Year 1 in 2009-10, 2010-11 and 2011-12.</t>
  </si>
  <si>
    <t>Met the criteria for Four-Year 1 in 2010-11 and 2011-12.</t>
  </si>
  <si>
    <t>Reclassified: Met the criteria for Four-Year 3 in 2009-10, 2010-11 and 2011-12.</t>
  </si>
  <si>
    <t>New fall 2009. Met the criteria for Four-Year 4 in 2010-11 and 2011-12.</t>
  </si>
  <si>
    <t>New fall 2009. Met the criteria for Four-Year 5 in 2010-11 and 2011-12.</t>
  </si>
  <si>
    <t>Reclassified: Met criteria for Two-Year 1 in 2009-10, 2010-11 and 2011-12.</t>
  </si>
  <si>
    <t>Met the criteria for Two-Year 1 in 2010-11 amd 2011-12.</t>
  </si>
  <si>
    <t>Reclassified: Met criteria for Two-Year 2 in 2009-10, 2010-11 and 2011-12.</t>
  </si>
  <si>
    <t>Reclassified: met the criteria for Two-Year 2 in 2009-10, 2010-11 and 2011-12.</t>
  </si>
  <si>
    <t>Met criteria for Two-Year 2 in 2010-11 and 2011-12.</t>
  </si>
  <si>
    <t>Asheville-Buncombe Technical Community College</t>
  </si>
  <si>
    <t>Cape Fear Community College</t>
  </si>
  <si>
    <t xml:space="preserve">Central Piedmont Community College </t>
  </si>
  <si>
    <t>Fayetteville Technical Community College</t>
  </si>
  <si>
    <t>Forsyth Technical Community College</t>
  </si>
  <si>
    <t xml:space="preserve">Gaston College </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</si>
  <si>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</si>
  <si>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</si>
  <si>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</si>
  <si>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</si>
  <si>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</si>
  <si>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</si>
  <si>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</si>
  <si>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</si>
  <si>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</si>
  <si>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</si>
  <si>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</si>
  <si>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</si>
  <si>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</si>
  <si>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</si>
  <si>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Haywood Community College</t>
  </si>
  <si>
    <t xml:space="preserve">Isothermal Community College </t>
  </si>
  <si>
    <t>Johnston Community College</t>
  </si>
  <si>
    <t xml:space="preserve">Lenoir Community College </t>
  </si>
  <si>
    <t xml:space="preserve">Mitchell Community College </t>
  </si>
  <si>
    <t>Nash Community College</t>
  </si>
  <si>
    <t>Randolph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</si>
  <si>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</si>
  <si>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</si>
  <si>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</si>
  <si>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</si>
  <si>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</si>
  <si>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</si>
  <si>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</si>
  <si>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</si>
  <si>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</si>
  <si>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</si>
  <si>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</si>
  <si>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</si>
  <si>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</si>
  <si>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</si>
  <si>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</si>
  <si>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</si>
  <si>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</si>
  <si>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</si>
  <si>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</si>
  <si>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</si>
  <si>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</si>
  <si>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</si>
  <si>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Richmond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</si>
  <si>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</si>
  <si>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</si>
  <si>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</si>
  <si>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</si>
  <si>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</si>
  <si>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</si>
  <si>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</si>
  <si>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</si>
  <si>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University of Delaware</t>
  </si>
  <si>
    <t>Delaware State University</t>
  </si>
  <si>
    <t>Delaware Technical and Community College--Owens</t>
  </si>
  <si>
    <t>Delaware Technical and Community College--Stanton-Wilmington</t>
  </si>
  <si>
    <t>Delaware Technical and Community College--Terry</t>
  </si>
  <si>
    <t>Met criteria for Two-Year 3 in 2011-12.</t>
  </si>
  <si>
    <t>Met criteria for Two-Year 2 in 2011-12.</t>
  </si>
  <si>
    <t>University of Memphis</t>
  </si>
  <si>
    <t>University of Tennessee, Knoxville</t>
  </si>
  <si>
    <t xml:space="preserve">Austin Peay State University </t>
  </si>
  <si>
    <t xml:space="preserve">East Tennessee State University </t>
  </si>
  <si>
    <t xml:space="preserve">Middle Tennessee State University </t>
  </si>
  <si>
    <t xml:space="preserve">Tennessee State University </t>
  </si>
  <si>
    <t xml:space="preserve">Tennessee Technological University </t>
  </si>
  <si>
    <t>University of Tennessee at Chattanooga</t>
  </si>
  <si>
    <t>University of Tennessee at Martin</t>
  </si>
  <si>
    <t xml:space="preserve">Chattanooga State Technical Community College </t>
  </si>
  <si>
    <t>Pellissippi State Technical Community College</t>
  </si>
  <si>
    <t>Southwest Tennessee Community College</t>
  </si>
  <si>
    <t xml:space="preserve">Cleveland State Community College </t>
  </si>
  <si>
    <t xml:space="preserve">Columbia State Community College </t>
  </si>
  <si>
    <t xml:space="preserve">Jackson State Community College </t>
  </si>
  <si>
    <t xml:space="preserve">Motlow State Community College </t>
  </si>
  <si>
    <t>Nashville State Technical Community College</t>
  </si>
  <si>
    <t>Northeast State Technical Community College</t>
  </si>
  <si>
    <t xml:space="preserve">Roane State Community College </t>
  </si>
  <si>
    <t xml:space="preserve">Volunteer State Community College </t>
  </si>
  <si>
    <t xml:space="preserve">Walters State Community College </t>
  </si>
  <si>
    <t xml:space="preserve">Dyersburg State Community College </t>
  </si>
  <si>
    <t>Tennessee Technology Center at Athens</t>
  </si>
  <si>
    <t>Tennessee Technology Center at Chattanooga</t>
  </si>
  <si>
    <t>219824B</t>
  </si>
  <si>
    <t>Tennessee Technology Center at Covington</t>
  </si>
  <si>
    <t>Tennessee Technology Center at Crossville</t>
  </si>
  <si>
    <t>Tennessee Technology Center at Crump</t>
  </si>
  <si>
    <t>Tennessee Technology Center at Dickson</t>
  </si>
  <si>
    <t>Tennessee Technology Center at Elizabethton</t>
  </si>
  <si>
    <t>Tennessee Technology Center at Harriman</t>
  </si>
  <si>
    <t>Tennessee Technology Center at Hartsville</t>
  </si>
  <si>
    <t>Tennessee Technology Center at Hohenwald</t>
  </si>
  <si>
    <t>Tennessee Technology Center at Jacksboro</t>
  </si>
  <si>
    <t>Tennessee Technology Center at Jackson</t>
  </si>
  <si>
    <t>Tennessee Technology Center at Knoxville</t>
  </si>
  <si>
    <t>Tennessee Technology Center at Livingston</t>
  </si>
  <si>
    <t>Tennessee Technology Center at McKenzie</t>
  </si>
  <si>
    <t>Tennessee Technology Center at McMinnville</t>
  </si>
  <si>
    <t>Tennessee Technology Center at Memphis</t>
  </si>
  <si>
    <t>Tennessee Technology Center at Morristown</t>
  </si>
  <si>
    <t>Tennessee Technology Center at Murfreesboro</t>
  </si>
  <si>
    <t>Tennessee Technology Center at Nashville</t>
  </si>
  <si>
    <t>Tennessee Technology Center at Newbern</t>
  </si>
  <si>
    <t>Tennessee Technology Center at Oneida</t>
  </si>
  <si>
    <t>Tennessee Technology Center at Paris</t>
  </si>
  <si>
    <t>Tennessee Technology Center at Pulaski</t>
  </si>
  <si>
    <t>Tennessee Technology Center at Ripley</t>
  </si>
  <si>
    <t>Tennessee Technology Center at Shelbyville</t>
  </si>
  <si>
    <t>Tennessee Technology Center at Whiteville</t>
  </si>
  <si>
    <t>Met the criteria for Technical Institute or College 1 in 2011-12.</t>
  </si>
  <si>
    <t>Met the criteria for Technical Institute or College 1 in 2010-11 and 2011-12.</t>
  </si>
  <si>
    <t>Reclassified: Met the criteria for Two-year 2 in 2009-10, 2010-11, and 2011-12.</t>
  </si>
  <si>
    <t>Reclassified: Met the criteria for Two-year 1 in 2009-10, 2010-11, and 2011-12.</t>
  </si>
  <si>
    <t>Met the criteria for Four-Year 4 in 2011-12.</t>
  </si>
  <si>
    <t>Reclassified: Met the criteria for Four-Year 2 in 2009-10, 2010-11, and 2011-12.</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</si>
  <si>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</si>
  <si>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</si>
  <si>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</si>
  <si>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</si>
  <si>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</si>
  <si>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</si>
  <si>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</si>
  <si>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</si>
  <si>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</si>
  <si>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</si>
  <si>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</si>
  <si>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</si>
  <si>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</si>
  <si>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</si>
  <si>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</si>
  <si>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Met criteria for Two-Year 2 2011-12.</t>
  </si>
  <si>
    <t>Met criteria for Two-Year 3 2011-12.</t>
  </si>
  <si>
    <t>University of Kentucky</t>
  </si>
  <si>
    <t>University of Louisville</t>
  </si>
  <si>
    <t xml:space="preserve">Eastern Kentucky University </t>
  </si>
  <si>
    <t xml:space="preserve">Morehead State University </t>
  </si>
  <si>
    <t xml:space="preserve">Murray State University </t>
  </si>
  <si>
    <t xml:space="preserve">Western Kentucky University </t>
  </si>
  <si>
    <t xml:space="preserve">Kentucky State University </t>
  </si>
  <si>
    <t xml:space="preserve">Northern Kentucky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</si>
  <si>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</si>
  <si>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</si>
  <si>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</si>
  <si>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</si>
  <si>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</si>
  <si>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</si>
  <si>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</si>
  <si>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</si>
  <si>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</si>
  <si>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</si>
  <si>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</si>
  <si>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Hazard Community and Technical College</t>
  </si>
  <si>
    <t xml:space="preserve">Henderson Community College </t>
  </si>
  <si>
    <t xml:space="preserve">Hopkinsville Community College </t>
  </si>
  <si>
    <t>Bowling Green Technical College</t>
  </si>
  <si>
    <t>Gateway Community and Technical College</t>
  </si>
  <si>
    <t>Met the criteria for classification as a Two-Year 1 in 2011-12.</t>
  </si>
  <si>
    <t>Met the criteria for classification as a Two-Year 2 in 2010-11 and 2011-12.</t>
  </si>
  <si>
    <t>University of Maryland College Park</t>
  </si>
  <si>
    <t>University of Maryland, Baltimore County</t>
  </si>
  <si>
    <t>Morgan State University</t>
  </si>
  <si>
    <t xml:space="preserve">Towson University </t>
  </si>
  <si>
    <t xml:space="preserve">Bowie State University </t>
  </si>
  <si>
    <t>Coppin State University</t>
  </si>
  <si>
    <t xml:space="preserve">Frostburg State University </t>
  </si>
  <si>
    <t xml:space="preserve">Salisbury University </t>
  </si>
  <si>
    <t>University of Baltimore</t>
  </si>
  <si>
    <t xml:space="preserve">University of Maryland Eastern Shore </t>
  </si>
  <si>
    <t>Saint Mary's College of Maryland</t>
  </si>
  <si>
    <t xml:space="preserve">Anne Arundel Community College </t>
  </si>
  <si>
    <t>Community College of Baltimore County (all campuses)</t>
  </si>
  <si>
    <t>Montgomery College (all campuses)</t>
  </si>
  <si>
    <t xml:space="preserve">Prince George's Community College </t>
  </si>
  <si>
    <t>Allegany College of Maryland</t>
  </si>
  <si>
    <t>Baltimore City Community College</t>
  </si>
  <si>
    <t>Carroll Community College</t>
  </si>
  <si>
    <t>College of Southern Maryland</t>
  </si>
  <si>
    <t xml:space="preserve">Frederick Community College </t>
  </si>
  <si>
    <t xml:space="preserve">Hagerstown Community College </t>
  </si>
  <si>
    <t xml:space="preserve">Harford Community College </t>
  </si>
  <si>
    <t xml:space="preserve">Howard Community College </t>
  </si>
  <si>
    <t xml:space="preserve">Wor-Wic Community College </t>
  </si>
  <si>
    <t xml:space="preserve">Cecil Community College </t>
  </si>
  <si>
    <t xml:space="preserve">Chesapeake College </t>
  </si>
  <si>
    <t xml:space="preserve">Garrett College </t>
  </si>
  <si>
    <t>University of Maryland University College</t>
  </si>
  <si>
    <t>Reclassified: Met the criteria for  Four-Year 2 in 2009-10, 2010-11 and 2011-12.</t>
  </si>
  <si>
    <t>Met the criteria for Four-Year 5 in 2010-11 and 2011-12.</t>
  </si>
  <si>
    <t>Met the criteria for Two-Year 1 in 2011-12.</t>
  </si>
  <si>
    <t>Reclassified: Met the criteria for Two-Year 1 in 2009-10, 2010-11, and 2011-12.</t>
  </si>
  <si>
    <t xml:space="preserve">George Mason University </t>
  </si>
  <si>
    <t xml:space="preserve">Old Dominion University </t>
  </si>
  <si>
    <t>University of Virginia</t>
  </si>
  <si>
    <t xml:space="preserve">Virginia Tech </t>
  </si>
  <si>
    <t>College of William &amp; Mary</t>
  </si>
  <si>
    <t>Virginia Commonwealth University</t>
  </si>
  <si>
    <t>James Madison University</t>
  </si>
  <si>
    <t xml:space="preserve">Norfolk State University </t>
  </si>
  <si>
    <t xml:space="preserve">Longwood University </t>
  </si>
  <si>
    <t>Radford University</t>
  </si>
  <si>
    <t xml:space="preserve">Virginia State University </t>
  </si>
  <si>
    <t>Christopher Newport University</t>
  </si>
  <si>
    <t xml:space="preserve">University of Mary Washington </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</si>
  <si>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</si>
  <si>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</si>
  <si>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</si>
  <si>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</si>
  <si>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</si>
  <si>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</si>
  <si>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</si>
  <si>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</si>
  <si>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</si>
  <si>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</si>
  <si>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Lord Fairfax Community College</t>
  </si>
  <si>
    <t xml:space="preserve">New River Community College </t>
  </si>
  <si>
    <t xml:space="preserve">Piedmont Virginia Community College </t>
  </si>
  <si>
    <t>Southside Virginia Community College</t>
  </si>
  <si>
    <t xml:space="preserve">Southwest Virginia Community College </t>
  </si>
  <si>
    <t xml:space="preserve">Virginia Western Community College </t>
  </si>
  <si>
    <t xml:space="preserve">D.S. Lancaster Community College </t>
  </si>
  <si>
    <t>Eastern Shore Community College</t>
  </si>
  <si>
    <t>Mountain Empire Community College</t>
  </si>
  <si>
    <t xml:space="preserve">Patrick Henry Community College </t>
  </si>
  <si>
    <t>Paul D. Camp Community College</t>
  </si>
  <si>
    <t>Rappahannock Community College</t>
  </si>
  <si>
    <t xml:space="preserve">Richard Bland College </t>
  </si>
  <si>
    <t xml:space="preserve">Virginia Highlands Community College </t>
  </si>
  <si>
    <t xml:space="preserve">Wytheville Community College </t>
  </si>
  <si>
    <t>Met the criteria for Four-Year 1 in 2011-2012</t>
  </si>
  <si>
    <t>Met the criteria for Four-Year 3 in 2011-2012</t>
  </si>
  <si>
    <t>Met the criteria for Four-Year 4 in 2011-2012</t>
  </si>
  <si>
    <t>Reclassified: Met the criteria for Two-Year 2 in 2009-10, 2010-11, and 2011-12.</t>
  </si>
  <si>
    <t>University of Oklahoma Norman Campus</t>
  </si>
  <si>
    <t>Northeastern State University</t>
  </si>
  <si>
    <t>University of Central Oklahoma</t>
  </si>
  <si>
    <t xml:space="preserve">Cameron University </t>
  </si>
  <si>
    <t xml:space="preserve">East Central University </t>
  </si>
  <si>
    <t>Langston University</t>
  </si>
  <si>
    <t xml:space="preserve">Northwestern Oklahoma State University </t>
  </si>
  <si>
    <t xml:space="preserve">Southeastern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</si>
  <si>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</si>
  <si>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</si>
  <si>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</si>
  <si>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</si>
  <si>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</si>
  <si>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City Community College </t>
  </si>
  <si>
    <t xml:space="preserve">Tulsa Community College </t>
  </si>
  <si>
    <t xml:space="preserve">Northern Oklahoma College </t>
  </si>
  <si>
    <t xml:space="preserve">Oklahoma State University-Oklahoma City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</si>
  <si>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</si>
  <si>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</si>
  <si>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</si>
  <si>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</si>
  <si>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</si>
  <si>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</si>
  <si>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</si>
  <si>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</si>
  <si>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</si>
  <si>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Reclassified: Met criteria for Two-Year with Bachelor's in 2009-10, 2010-11, and 2011-12.</t>
  </si>
  <si>
    <t>Reclassified: Met the criteria for Two-Year 1 institution in 2009-10, 2010-11, and 2011-12.</t>
  </si>
  <si>
    <t>Met the criteria for Two-Year 2 institution in 2010-11 and 2011-12.</t>
  </si>
  <si>
    <t>Met the criteria for Two-Year 2 institution in 2011-12.</t>
  </si>
  <si>
    <t>Met the criteria for Four-Year 4 in 2010-11 and 2011-12.</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</si>
  <si>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</si>
  <si>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</si>
  <si>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</si>
  <si>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</si>
  <si>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</si>
  <si>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</si>
  <si>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</si>
  <si>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</si>
  <si>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</si>
  <si>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</si>
  <si>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</si>
  <si>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</si>
  <si>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Greenville Technical College </t>
  </si>
  <si>
    <t xml:space="preserve">Midlands Technical College </t>
  </si>
  <si>
    <t xml:space="preserve">Trident Technical College </t>
  </si>
  <si>
    <t xml:space="preserve">Aiken Technical College </t>
  </si>
  <si>
    <t xml:space="preserve">Central Carolina Technical College </t>
  </si>
  <si>
    <t xml:space="preserve">Florence-Darlington Technical College </t>
  </si>
  <si>
    <t xml:space="preserve">Horry-Georgetown Technical College </t>
  </si>
  <si>
    <t xml:space="preserve">Orangeburg-Calhoun Technical College </t>
  </si>
  <si>
    <t xml:space="preserve">Piedmont Technical College </t>
  </si>
  <si>
    <t xml:space="preserve">Spartanburg Community College </t>
  </si>
  <si>
    <t xml:space="preserve">Tri-County Technical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</si>
  <si>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</si>
  <si>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</si>
  <si>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</si>
  <si>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</si>
  <si>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</si>
  <si>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</si>
  <si>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</si>
  <si>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</si>
  <si>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</si>
  <si>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Met the criteria for Four-Year 3 in 2011-12.</t>
  </si>
  <si>
    <t>Met the criteria for Two-year 1 in 2010-11 and 2011-12.</t>
  </si>
  <si>
    <t xml:space="preserve">Chipola College </t>
  </si>
  <si>
    <t xml:space="preserve">Daytona State College </t>
  </si>
  <si>
    <t xml:space="preserve">Edison State College </t>
  </si>
  <si>
    <t xml:space="preserve">Miami Dade College </t>
  </si>
  <si>
    <t>Northwest Florida State College</t>
  </si>
  <si>
    <t xml:space="preserve">St. Petersburg College </t>
  </si>
  <si>
    <t xml:space="preserve">Brevard Community College </t>
  </si>
  <si>
    <t xml:space="preserve">Broward College </t>
  </si>
  <si>
    <t>College of Central Florida</t>
  </si>
  <si>
    <t>Florida State College at Jacksonville</t>
  </si>
  <si>
    <t xml:space="preserve">Hillsborough Community College </t>
  </si>
  <si>
    <t xml:space="preserve">Indian River State College </t>
  </si>
  <si>
    <t xml:space="preserve">Palm Beach State College </t>
  </si>
  <si>
    <t xml:space="preserve">Pasco-Hernando Community College </t>
  </si>
  <si>
    <t xml:space="preserve">Pensacola State College </t>
  </si>
  <si>
    <t xml:space="preserve">Polk State College </t>
  </si>
  <si>
    <t xml:space="preserve">Santa Fe College </t>
  </si>
  <si>
    <t>Seminole State College of Florida</t>
  </si>
  <si>
    <t>State College of Florida, Manatee-Sarasota</t>
  </si>
  <si>
    <t xml:space="preserve">Tallahassee Community College </t>
  </si>
  <si>
    <t xml:space="preserve">Valencia Community College </t>
  </si>
  <si>
    <t xml:space="preserve">Gulf Coast Community College </t>
  </si>
  <si>
    <t xml:space="preserve">Lake City Community College </t>
  </si>
  <si>
    <t xml:space="preserve">Lake-Sumter Community College </t>
  </si>
  <si>
    <t xml:space="preserve">South Florida Community College </t>
  </si>
  <si>
    <t xml:space="preserve">St. Johns River Community College </t>
  </si>
  <si>
    <t xml:space="preserve">Florida Keys Community College </t>
  </si>
  <si>
    <t xml:space="preserve">North Florida Community College </t>
  </si>
  <si>
    <t>Met the criteria for Two-Year with Bachelor's in 2011-12.</t>
  </si>
  <si>
    <t>Reclassified: met the criteria for Two-Year with Bachelor's in 2009-10, 2010-11 and 2011-12.</t>
  </si>
  <si>
    <t>Public Four-Year Institutions, 2011</t>
  </si>
  <si>
    <t>Public Four-Year 1 Institutions, 2011</t>
  </si>
  <si>
    <t>Public Four-Year 2 Institutions, 2011</t>
  </si>
  <si>
    <t>Public Four-Year 3 Institutions, 2011</t>
  </si>
  <si>
    <t>Public Four-Year 4 Institutions, 2011</t>
  </si>
  <si>
    <t>Public Four-Year 5 Institutions, 2011</t>
  </si>
  <si>
    <t>Public Four-Year 6 Institutions, 2011</t>
  </si>
  <si>
    <t>Public Two-Year, 2011</t>
  </si>
  <si>
    <t>Public Two-Year with Bachelor's Institutions, 2011</t>
  </si>
  <si>
    <t>Public Two-Year 1 Institutions, 2011</t>
  </si>
  <si>
    <t>Public Two-Year 2 Institutions, 2011</t>
  </si>
  <si>
    <t>Public Two-Year 3 Institutions, 2011</t>
  </si>
  <si>
    <t>Public Technical Institutes or Colleges, 2011</t>
  </si>
  <si>
    <t>Public Technical Institutes or Colleges 1, 2011</t>
  </si>
  <si>
    <t>Public Technical Institutes or Colleges 2, 2011</t>
  </si>
  <si>
    <t xml:space="preserve">Public Four-Year 1 Institutions, 2010 </t>
  </si>
  <si>
    <t>Percent of Undergraduate Instructional Activity in Traditional Classroom Instruction by Type of Institution, 2011</t>
  </si>
  <si>
    <t>Percent of Undergraduate Instructional Activity in e-Learning by Type of Institution, 2011</t>
  </si>
  <si>
    <t>by Type of Institution, 2011</t>
  </si>
  <si>
    <t xml:space="preserve"> January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</si>
</sst>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_)"/>
    <numFmt numFmtId="165" formatCode="_(* #,##0_);_(* \(#,##0\);_(* &quot;-&quot;??_);_(@_)"/>
    <numFmt numFmtId="166" formatCode="0.0%"/>
    <numFmt numFmtId="167" formatCode="0.0"/>
    <numFmt numFmtId="168" formatCode="_(* #,##0.0_);_(* \(#,##0.0\);_(* &quot;-&quot;??_);_(@_)"/>
    <numFmt numFmtId="169" formatCode="0.000"/>
    <numFmt numFmtId="170" formatCode="#,##0.0"/>
    <numFmt numFmtId="171" formatCode="General_)"/>
    <numFmt numFmtId="172" formatCode="0.0000"/>
  </numFmts>
  <fonts count="56">
    <font>
      <sz val="11"/>
      <color theme="1"/>
      <name val="Calibri"/>
      <family val="2"/>
      <scheme val="minor"/>
    </font>
    <font>
      <sz val="11"/>
      <color theme="1"/>
      <name val="Calibri"/>
      <family val="2"/>
      <scheme val="minor"/>
    </font>
    <font>
      <sz val="10"/>
      <name val="Arial"/>
      <family val="2"/>
    </font>
    <font>
      <b/>
      <sz val="10"/>
      <color indexed="10"/>
      <name val="Arial"/>
      <family val="2"/>
    </font>
    <font>
      <sz val="8"/>
      <name val="Arial"/>
      <family val="2"/>
    </font>
    <font>
      <b/>
      <sz val="10"/>
      <name val="Arial"/>
      <family val="2"/>
    </font>
    <font>
      <b/>
      <sz val="10"/>
      <color indexed="12"/>
      <name val="Arial"/>
      <family val="2"/>
    </font>
    <font>
      <sz val="12"/>
      <name val="AGaramond"/>
      <family val="1"/>
    </font>
    <font>
      <sz val="10"/>
      <color indexed="12"/>
      <name val="Arial"/>
      <family val="2"/>
    </font>
    <font>
      <sz val="12"/>
      <name val="AGaramond"/>
      <family val="3"/>
    </font>
    <font>
      <sz val="10"/>
      <color rgb="FFC00000"/>
      <name val="Arial"/>
      <family val="2"/>
    </font>
    <font>
      <b/>
      <sz val="11"/>
      <color indexed="81"/>
      <name val="Tahoma"/>
      <family val="2"/>
    </font>
    <font>
      <b/>
      <sz val="10"/>
      <color indexed="81"/>
      <name val="Tahoma"/>
      <family val="2"/>
    </font>
    <font>
      <sz val="10"/>
      <color indexed="81"/>
      <name val="Tahoma"/>
      <family val="2"/>
    </font>
    <font>
      <sz val="11"/>
      <name val="Calibri"/>
      <family val="2"/>
      <scheme val="minor"/>
    </font>
    <font>
      <b/>
      <sz val="14"/>
      <name val="Arial"/>
      <family val="2"/>
    </font>
    <font>
      <sz val="14"/>
      <name val="Arial"/>
      <family val="2"/>
    </font>
    <font>
      <b/>
      <sz val="12"/>
      <color indexed="8"/>
      <name val="Arial"/>
      <family val="2"/>
    </font>
    <font>
      <b/>
      <sz val="10"/>
      <color indexed="8"/>
      <name val="Arial"/>
      <family val="2"/>
    </font>
    <font>
      <vertAlign val="superscript"/>
      <sz val="10"/>
      <name val="Arial"/>
      <family val="2"/>
    </font>
    <font>
      <vertAlign val="superscript"/>
      <sz val="8"/>
      <name val="Arial"/>
      <family val="2"/>
    </font>
    <font>
      <b/>
      <sz val="12"/>
      <name val="Arial"/>
      <family val="2"/>
    </font>
    <font>
      <b/>
      <sz val="9"/>
      <name val="Arial"/>
      <family val="2"/>
    </font>
    <font>
      <sz val="9"/>
      <name val="Arial"/>
      <family val="2"/>
    </font>
    <font>
      <b/>
      <vertAlign val="superscript"/>
      <sz val="9"/>
      <name val="Arial"/>
      <family val="2"/>
    </font>
    <font>
      <b/>
      <sz val="9"/>
      <color rgb="FFC00000"/>
      <name val="Arial"/>
      <family val="2"/>
    </font>
    <font>
      <sz val="14"/>
      <color rgb="FFC00000"/>
      <name val="Arial"/>
      <family val="2"/>
    </font>
    <font>
      <b/>
      <sz val="10"/>
      <color rgb="FFC00000"/>
      <name val="Arial"/>
      <family val="2"/>
    </font>
    <font>
      <sz val="8"/>
      <color rgb="FFC00000"/>
      <name val="Arial"/>
      <family val="2"/>
    </font>
    <font>
      <sz val="11"/>
      <color rgb="FFC00000"/>
      <name val="Calibri"/>
      <family val="2"/>
      <scheme val="minor"/>
    </font>
    <font>
      <sz val="9"/>
      <color rgb="FFC00000"/>
      <name val="Arial"/>
      <family val="2"/>
    </font>
    <font>
      <sz val="10"/>
      <color rgb="FF0000FF"/>
      <name val="Arial"/>
      <family val="2"/>
    </font>
    <font>
      <b/>
      <sz val="11"/>
      <name val="Calibri"/>
      <family val="2"/>
      <scheme val="minor"/>
    </font>
    <font>
      <sz val="11"/>
      <name val="Arial"/>
      <family val="2"/>
    </font>
    <font>
      <b/>
      <sz val="10"/>
      <color theme="0"/>
      <name val="Arial"/>
      <family val="2"/>
    </font>
    <font>
      <b/>
      <sz val="10"/>
      <color rgb="FF0000FF"/>
      <name val="Arial"/>
      <family val="2"/>
    </font>
    <font>
      <b/>
      <sz val="14"/>
      <color theme="0"/>
      <name val="Arial"/>
      <family val="2"/>
    </font>
    <font>
      <sz val="8"/>
      <color rgb="FF0000FF"/>
      <name val="Arial"/>
      <family val="2"/>
    </font>
    <font>
      <b/>
      <sz val="8"/>
      <name val="Times New Roman"/>
      <family val="1"/>
    </font>
    <font>
      <b/>
      <sz val="8"/>
      <color rgb="FFC00000"/>
      <name val="Times New Roman"/>
      <family val="1"/>
    </font>
    <font>
      <b/>
      <sz val="8"/>
      <color indexed="81"/>
      <name val="Tahoma"/>
      <family val="2"/>
    </font>
    <font>
      <sz val="8"/>
      <color indexed="81"/>
      <name val="Tahoma"/>
      <family val="2"/>
    </font>
    <font>
      <b/>
      <sz val="10"/>
      <color theme="1"/>
      <name val="Arial"/>
      <family val="2"/>
    </font>
    <font>
      <b/>
      <sz val="8"/>
      <color rgb="FFFF0000"/>
      <name val="Times New Roman"/>
      <family val="1"/>
    </font>
    <font>
      <b/>
      <sz val="10"/>
      <color rgb="FFFF0000"/>
      <name val="Arial"/>
      <family val="2"/>
    </font>
    <font>
      <sz val="10"/>
      <color theme="1"/>
      <name val="Arial"/>
      <family val="2"/>
    </font>
    <font>
      <sz val="10"/>
      <color indexed="8"/>
      <name val="Arial"/>
      <family val="2"/>
    </font>
    <font>
      <sz val="11"/>
      <color indexed="8"/>
      <name val="Calibri"/>
      <family val="2"/>
    </font>
    <font>
      <sz val="10"/>
      <name val="Courier"/>
      <family val="3"/>
    </font>
    <font>
      <sz val="12"/>
      <name val="Arial"/>
      <family val="2"/>
    </font>
    <font>
      <sz val="12"/>
      <name val="AGaramond"/>
      <family val="1"/>
    </font>
    <font>
      <sz val="10"/>
      <name val="Helv"/>
    </font>
    <font>
      <sz val="12"/>
      <name val="AGaramond"/>
      <family val="1"/>
    </font>
    <font>
      <sz val="10"/>
      <color rgb="FF000000"/>
      <name val="Times New Roman"/>
      <family val="1"/>
    </font>
    <font>
      <sz val="10"/>
      <color rgb="FF000000"/>
      <name val="Times New Roman"/>
      <family val="1"/>
    </font>
    <font>
      <b/>
      <sz val="11"/>
      <color rgb="FFC00000"/>
      <name val="Calibri"/>
      <family val="2"/>
      <scheme val="minor"/>
    </font>
  </fonts>
  <fills count="2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5"/>
        <bgColor indexed="64"/>
      </patternFill>
    </fill>
    <fill>
      <patternFill patternType="solid">
        <fgColor rgb="FFFFFF00"/>
        <bgColor indexed="64"/>
      </patternFill>
    </fill>
    <fill>
      <patternFill patternType="solid">
        <fgColor indexed="47"/>
        <bgColor indexed="42"/>
      </patternFill>
    </fill>
    <fill>
      <patternFill patternType="solid">
        <fgColor indexed="43"/>
        <bgColor indexed="64"/>
      </patternFill>
    </fill>
    <fill>
      <patternFill patternType="solid">
        <fgColor theme="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C00000"/>
        <bgColor indexed="64"/>
      </patternFill>
    </fill>
    <fill>
      <patternFill patternType="solid">
        <fgColor theme="0"/>
        <bgColor indexed="64"/>
      </patternFill>
    </fill>
    <fill>
      <patternFill patternType="solid">
        <fgColor indexed="42"/>
        <bgColor indexed="64"/>
      </patternFill>
    </fill>
    <fill>
      <patternFill patternType="solid">
        <fgColor rgb="FFFF99CC"/>
        <bgColor indexed="64"/>
      </patternFill>
    </fill>
    <fill>
      <patternFill patternType="solid">
        <fgColor indexed="46"/>
        <bgColor indexed="64"/>
      </patternFill>
    </fill>
    <fill>
      <patternFill patternType="solid">
        <fgColor indexed="42"/>
        <bgColor indexed="42"/>
      </patternFill>
    </fill>
    <fill>
      <patternFill patternType="solid">
        <fgColor indexed="44"/>
        <bgColor indexed="64"/>
      </patternFill>
    </fill>
    <fill>
      <patternFill patternType="solid">
        <fgColor indexed="44"/>
        <bgColor indexed="42"/>
      </patternFill>
    </fill>
    <fill>
      <patternFill patternType="solid">
        <fgColor indexed="15"/>
        <bgColor indexed="64"/>
      </patternFill>
    </fill>
    <fill>
      <patternFill patternType="solid">
        <fgColor indexed="15"/>
        <bgColor indexed="42"/>
      </patternFill>
    </fill>
    <fill>
      <patternFill patternType="solid">
        <fgColor indexed="43"/>
        <bgColor indexed="42"/>
      </patternFill>
    </fill>
    <fill>
      <patternFill patternType="solid">
        <fgColor indexed="45"/>
        <bgColor indexed="42"/>
      </patternFill>
    </fill>
    <fill>
      <patternFill patternType="solid">
        <fgColor indexed="51"/>
        <bgColor indexed="64"/>
      </patternFill>
    </fill>
    <fill>
      <patternFill patternType="solid">
        <fgColor rgb="FFFFCC00"/>
        <bgColor indexed="64"/>
      </patternFill>
    </fill>
  </fills>
  <borders count="4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bottom/>
      <diagonal/>
    </border>
    <border>
      <left/>
      <right/>
      <top style="thin">
        <color indexed="8"/>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4"/>
      </top>
      <bottom/>
      <diagonal/>
    </border>
    <border>
      <left style="thin">
        <color indexed="65"/>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64"/>
      </left>
      <right/>
      <top style="thin">
        <color indexed="65"/>
      </top>
      <bottom/>
      <diagonal/>
    </border>
    <border>
      <left style="thin">
        <color indexed="8"/>
      </left>
      <right/>
      <top style="thin">
        <color indexed="65"/>
      </top>
      <bottom/>
      <diagonal/>
    </border>
    <border>
      <left style="thin">
        <color indexed="8"/>
      </left>
      <right style="thin">
        <color indexed="64"/>
      </right>
      <top style="thin">
        <color indexed="65"/>
      </top>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bottom/>
      <diagonal/>
    </border>
    <border>
      <left style="double">
        <color indexed="64"/>
      </left>
      <right style="thin">
        <color indexed="64"/>
      </right>
      <top/>
      <bottom/>
      <diagonal/>
    </border>
    <border>
      <left style="thin">
        <color indexed="64"/>
      </left>
      <right style="medium">
        <color indexed="64"/>
      </right>
      <top/>
      <bottom/>
      <diagonal/>
    </border>
    <border>
      <left style="thin">
        <color indexed="8"/>
      </left>
      <right style="thin">
        <color indexed="64"/>
      </right>
      <top/>
      <bottom style="thin">
        <color indexed="64"/>
      </bottom>
      <diagonal/>
    </border>
    <border>
      <left style="medium">
        <color indexed="64"/>
      </left>
      <right style="medium">
        <color indexed="64"/>
      </right>
      <top/>
      <bottom/>
      <diagonal/>
    </border>
    <border>
      <left style="thin">
        <color indexed="64"/>
      </left>
      <right/>
      <top style="thin">
        <color auto="1"/>
      </top>
      <bottom/>
      <diagonal/>
    </border>
    <border>
      <left/>
      <right style="thin">
        <color indexed="64"/>
      </right>
      <top style="thin">
        <color indexed="64"/>
      </top>
      <bottom/>
      <diagonal/>
    </border>
  </borders>
  <cellStyleXfs count="477">
    <xf numFmtId="0" fontId="0" fillId="0" borderId="0"/>
    <xf numFmtId="9" fontId="1" fillId="0" borderId="0" applyFont="0" applyFill="0" applyBorder="0" applyAlignment="0" applyProtection="0"/>
    <xf numFmtId="0" fontId="2" fillId="0" borderId="0"/>
    <xf numFmtId="0" fontId="2" fillId="0" borderId="0"/>
    <xf numFmtId="0" fontId="2" fillId="0" borderId="0"/>
    <xf numFmtId="164" fontId="7" fillId="0" borderId="0"/>
    <xf numFmtId="43" fontId="2" fillId="0" borderId="0" applyFont="0" applyFill="0" applyBorder="0" applyAlignment="0" applyProtection="0"/>
    <xf numFmtId="3" fontId="4" fillId="0" borderId="0"/>
    <xf numFmtId="43" fontId="9" fillId="0" borderId="0" applyFont="0" applyFill="0" applyBorder="0" applyAlignment="0" applyProtection="0"/>
    <xf numFmtId="164" fontId="7" fillId="0" borderId="0"/>
    <xf numFmtId="164" fontId="7" fillId="0" borderId="0"/>
    <xf numFmtId="43" fontId="1" fillId="0" borderId="0" applyFont="0" applyFill="0" applyBorder="0" applyAlignment="0" applyProtection="0"/>
    <xf numFmtId="164" fontId="7" fillId="0" borderId="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0" fontId="2" fillId="0" borderId="0"/>
    <xf numFmtId="164" fontId="9" fillId="0" borderId="0"/>
    <xf numFmtId="164" fontId="9" fillId="0" borderId="0"/>
    <xf numFmtId="164" fontId="7" fillId="0" borderId="0"/>
    <xf numFmtId="3" fontId="4" fillId="0" borderId="0"/>
    <xf numFmtId="0" fontId="1" fillId="0" borderId="0"/>
    <xf numFmtId="0" fontId="1" fillId="0" borderId="0"/>
    <xf numFmtId="43" fontId="1" fillId="0" borderId="0" applyFont="0" applyFill="0" applyBorder="0" applyAlignment="0" applyProtection="0"/>
    <xf numFmtId="164" fontId="9" fillId="0" borderId="0"/>
    <xf numFmtId="0" fontId="45" fillId="0" borderId="0"/>
    <xf numFmtId="9" fontId="45" fillId="0" borderId="0" applyFont="0" applyFill="0" applyBorder="0" applyAlignment="0" applyProtection="0"/>
    <xf numFmtId="9" fontId="7" fillId="0" borderId="0" applyFont="0" applyFill="0" applyBorder="0" applyAlignment="0" applyProtection="0"/>
    <xf numFmtId="164" fontId="7" fillId="0" borderId="0"/>
    <xf numFmtId="0" fontId="1" fillId="0" borderId="0"/>
    <xf numFmtId="0" fontId="45" fillId="0" borderId="0"/>
    <xf numFmtId="9" fontId="45" fillId="0" borderId="0" applyFont="0" applyFill="0" applyBorder="0" applyAlignment="0" applyProtection="0"/>
    <xf numFmtId="43" fontId="45" fillId="0" borderId="0" applyFont="0" applyFill="0" applyBorder="0" applyAlignment="0" applyProtection="0"/>
    <xf numFmtId="0" fontId="47" fillId="0" borderId="0"/>
    <xf numFmtId="0" fontId="47" fillId="0" borderId="0"/>
    <xf numFmtId="0" fontId="47" fillId="0" borderId="0"/>
    <xf numFmtId="0" fontId="47" fillId="0" borderId="0"/>
    <xf numFmtId="0" fontId="46" fillId="0" borderId="0"/>
    <xf numFmtId="0" fontId="46" fillId="0" borderId="0">
      <alignment vertical="top"/>
    </xf>
    <xf numFmtId="0" fontId="2" fillId="0" borderId="0"/>
    <xf numFmtId="0" fontId="2" fillId="0" borderId="0"/>
    <xf numFmtId="0" fontId="1" fillId="0" borderId="0"/>
    <xf numFmtId="0" fontId="2" fillId="0" borderId="0"/>
    <xf numFmtId="0" fontId="48" fillId="0" borderId="0">
      <alignment horizontal="left" wrapText="1"/>
    </xf>
    <xf numFmtId="0" fontId="45" fillId="0" borderId="0"/>
    <xf numFmtId="0" fontId="49"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64" fontId="50" fillId="0" borderId="0"/>
    <xf numFmtId="9" fontId="9" fillId="0" borderId="0" applyFont="0" applyFill="0" applyBorder="0" applyAlignment="0" applyProtection="0"/>
    <xf numFmtId="3" fontId="2" fillId="0" borderId="40" applyFont="0"/>
    <xf numFmtId="164" fontId="5" fillId="0" borderId="25" applyNumberFormat="0" applyFont="0" applyBorder="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1" fillId="0" borderId="0"/>
    <xf numFmtId="0" fontId="1" fillId="0" borderId="0"/>
    <xf numFmtId="9" fontId="45" fillId="0" borderId="0" applyFont="0" applyFill="0" applyBorder="0" applyAlignment="0" applyProtection="0"/>
    <xf numFmtId="0" fontId="1" fillId="0" borderId="0"/>
    <xf numFmtId="0" fontId="1" fillId="0" borderId="0"/>
    <xf numFmtId="164" fontId="9" fillId="0" borderId="0"/>
    <xf numFmtId="43"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3" fontId="4" fillId="0" borderId="0"/>
    <xf numFmtId="43" fontId="7" fillId="0" borderId="0" applyFont="0" applyFill="0" applyBorder="0" applyAlignment="0" applyProtection="0"/>
    <xf numFmtId="171" fontId="51" fillId="0" borderId="0"/>
    <xf numFmtId="171" fontId="51" fillId="0" borderId="0"/>
    <xf numFmtId="3" fontId="2" fillId="0" borderId="4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164" fontId="9" fillId="0" borderId="0"/>
    <xf numFmtId="164" fontId="9" fillId="0" borderId="0"/>
    <xf numFmtId="0" fontId="45" fillId="0" borderId="0"/>
    <xf numFmtId="9" fontId="45" fillId="0" borderId="0" applyFont="0" applyFill="0" applyBorder="0" applyAlignment="0" applyProtection="0"/>
    <xf numFmtId="0" fontId="1" fillId="0" borderId="0"/>
    <xf numFmtId="0" fontId="1" fillId="0" borderId="0"/>
    <xf numFmtId="0" fontId="47" fillId="0" borderId="0"/>
    <xf numFmtId="0" fontId="47" fillId="0" borderId="0"/>
    <xf numFmtId="0" fontId="47" fillId="0" borderId="0"/>
    <xf numFmtId="0" fontId="46" fillId="0" borderId="0">
      <alignment vertical="top"/>
    </xf>
    <xf numFmtId="0" fontId="1" fillId="0" borderId="0"/>
    <xf numFmtId="43" fontId="1" fillId="0" borderId="0" applyFont="0" applyFill="0" applyBorder="0" applyAlignment="0" applyProtection="0"/>
    <xf numFmtId="0" fontId="1" fillId="0" borderId="0"/>
    <xf numFmtId="0" fontId="1" fillId="0" borderId="0"/>
    <xf numFmtId="0" fontId="45" fillId="0" borderId="0"/>
    <xf numFmtId="0" fontId="2" fillId="0" borderId="0"/>
    <xf numFmtId="0" fontId="1" fillId="0" borderId="0"/>
    <xf numFmtId="0" fontId="1" fillId="0" borderId="0"/>
    <xf numFmtId="164" fontId="50" fillId="0" borderId="0"/>
    <xf numFmtId="164" fontId="50" fillId="0" borderId="0"/>
    <xf numFmtId="164" fontId="50" fillId="0" borderId="0"/>
    <xf numFmtId="164" fontId="50"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1" fontId="51" fillId="0" borderId="0"/>
    <xf numFmtId="0" fontId="1" fillId="0" borderId="0"/>
    <xf numFmtId="0" fontId="1" fillId="0" borderId="0"/>
    <xf numFmtId="0" fontId="1" fillId="0" borderId="0"/>
    <xf numFmtId="9" fontId="9"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64" fontId="50" fillId="0" borderId="0"/>
    <xf numFmtId="9" fontId="45" fillId="0" borderId="0" applyFont="0" applyFill="0" applyBorder="0" applyAlignment="0" applyProtection="0"/>
    <xf numFmtId="0" fontId="2" fillId="0" borderId="0"/>
    <xf numFmtId="164" fontId="52" fillId="0" borderId="0"/>
    <xf numFmtId="164" fontId="52" fillId="0" borderId="0"/>
    <xf numFmtId="164" fontId="52" fillId="0" borderId="0"/>
    <xf numFmtId="164" fontId="52" fillId="0" borderId="0"/>
    <xf numFmtId="0" fontId="1" fillId="0" borderId="0"/>
    <xf numFmtId="171" fontId="51"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164" fontId="52" fillId="0" borderId="0"/>
    <xf numFmtId="164" fontId="52" fillId="0" borderId="0"/>
    <xf numFmtId="164" fontId="52"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53" fillId="0" borderId="0"/>
    <xf numFmtId="0" fontId="54" fillId="0" borderId="0"/>
    <xf numFmtId="0" fontId="1" fillId="0" borderId="0"/>
    <xf numFmtId="0" fontId="53" fillId="0" borderId="0"/>
    <xf numFmtId="0" fontId="1" fillId="0" borderId="0"/>
    <xf numFmtId="164" fontId="52" fillId="0" borderId="0"/>
    <xf numFmtId="164" fontId="52"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1" fontId="5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164" fontId="7" fillId="0" borderId="0"/>
    <xf numFmtId="164" fontId="7" fillId="0" borderId="0"/>
    <xf numFmtId="164" fontId="7" fillId="0" borderId="0"/>
    <xf numFmtId="164" fontId="7" fillId="0" borderId="0"/>
    <xf numFmtId="164" fontId="7" fillId="0" borderId="0"/>
    <xf numFmtId="164" fontId="7" fillId="0" borderId="0"/>
  </cellStyleXfs>
  <cellXfs count="668">
    <xf numFmtId="0" fontId="0" fillId="0" borderId="0" xfId="0"/>
    <xf numFmtId="0" fontId="2" fillId="0" borderId="0" xfId="2" applyFont="1"/>
    <xf numFmtId="3" fontId="6" fillId="2" borderId="3" xfId="3" applyNumberFormat="1" applyFont="1" applyFill="1" applyBorder="1" applyAlignment="1">
      <alignment horizontal="centerContinuous"/>
    </xf>
    <xf numFmtId="3" fontId="3" fillId="2" borderId="4" xfId="3" applyNumberFormat="1" applyFont="1" applyFill="1" applyBorder="1" applyAlignment="1">
      <alignment horizontal="centerContinuous"/>
    </xf>
    <xf numFmtId="0" fontId="6" fillId="0" borderId="9" xfId="3" applyFont="1" applyBorder="1" applyAlignment="1">
      <alignment horizontal="centerContinuous" wrapText="1"/>
    </xf>
    <xf numFmtId="0" fontId="6" fillId="0" borderId="4" xfId="3" applyFont="1" applyBorder="1" applyAlignment="1">
      <alignment horizontal="centerContinuous" wrapText="1"/>
    </xf>
    <xf numFmtId="49" fontId="2" fillId="4" borderId="0" xfId="3" applyNumberFormat="1" applyFont="1" applyFill="1" applyBorder="1" applyAlignment="1">
      <alignment horizontal="center"/>
    </xf>
    <xf numFmtId="49" fontId="2" fillId="4" borderId="0" xfId="3" applyNumberFormat="1" applyFont="1" applyFill="1" applyBorder="1" applyAlignment="1">
      <alignment horizontal="left"/>
    </xf>
    <xf numFmtId="0" fontId="2" fillId="4" borderId="0" xfId="3" applyFont="1" applyFill="1" applyBorder="1" applyAlignment="1">
      <alignment horizontal="center" wrapText="1"/>
    </xf>
    <xf numFmtId="0" fontId="2" fillId="0" borderId="0" xfId="2" applyFont="1" applyFill="1" applyBorder="1"/>
    <xf numFmtId="49" fontId="2" fillId="0" borderId="0" xfId="2" applyNumberFormat="1" applyFont="1" applyFill="1" applyBorder="1" applyAlignment="1">
      <alignment horizontal="center"/>
    </xf>
    <xf numFmtId="49" fontId="2" fillId="0" borderId="0" xfId="2" applyNumberFormat="1" applyFont="1" applyFill="1" applyBorder="1" applyAlignment="1">
      <alignment horizontal="left"/>
    </xf>
    <xf numFmtId="0" fontId="6" fillId="0" borderId="0" xfId="2" applyFont="1" applyFill="1" applyBorder="1"/>
    <xf numFmtId="0" fontId="8" fillId="0" borderId="0" xfId="2" applyFont="1" applyFill="1" applyBorder="1"/>
    <xf numFmtId="0" fontId="0" fillId="0" borderId="0" xfId="0" applyBorder="1"/>
    <xf numFmtId="0" fontId="0" fillId="0" borderId="0" xfId="0" applyFill="1"/>
    <xf numFmtId="37" fontId="15" fillId="0" borderId="0" xfId="0" applyNumberFormat="1" applyFont="1" applyFill="1" applyAlignment="1" applyProtection="1">
      <alignment horizontal="centerContinuous"/>
    </xf>
    <xf numFmtId="0" fontId="16"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0" fontId="0" fillId="0" borderId="0" xfId="0" applyBorder="1" applyAlignment="1">
      <alignment horizontal="centerContinuous"/>
    </xf>
    <xf numFmtId="0" fontId="2" fillId="0" borderId="0" xfId="0" applyFont="1" applyAlignment="1">
      <alignment horizontal="centerContinuous"/>
    </xf>
    <xf numFmtId="37" fontId="5" fillId="0" borderId="0" xfId="0" applyNumberFormat="1" applyFont="1" applyFill="1" applyAlignment="1" applyProtection="1">
      <alignment horizontal="centerContinuous"/>
    </xf>
    <xf numFmtId="0" fontId="2" fillId="0" borderId="0" xfId="0" applyFont="1" applyFill="1" applyAlignment="1">
      <alignment horizontal="centerContinuous"/>
    </xf>
    <xf numFmtId="0" fontId="2" fillId="0" borderId="0" xfId="0" applyFont="1" applyBorder="1" applyAlignment="1">
      <alignment horizontal="centerContinuous"/>
    </xf>
    <xf numFmtId="0" fontId="2" fillId="0" borderId="0" xfId="0" applyFont="1"/>
    <xf numFmtId="37" fontId="17" fillId="0" borderId="0" xfId="0" applyNumberFormat="1" applyFont="1" applyAlignment="1" applyProtection="1">
      <alignment horizontal="centerContinuous"/>
    </xf>
    <xf numFmtId="37" fontId="18" fillId="0" borderId="1" xfId="0" applyNumberFormat="1" applyFont="1" applyBorder="1" applyProtection="1"/>
    <xf numFmtId="0" fontId="0" fillId="0" borderId="1" xfId="0" applyBorder="1"/>
    <xf numFmtId="0" fontId="0" fillId="0" borderId="1" xfId="0" applyFill="1" applyBorder="1"/>
    <xf numFmtId="37" fontId="18" fillId="0" borderId="2" xfId="0" applyNumberFormat="1" applyFont="1" applyBorder="1" applyProtection="1"/>
    <xf numFmtId="0" fontId="5" fillId="0" borderId="3" xfId="0" applyFont="1" applyBorder="1" applyAlignment="1">
      <alignment horizontal="centerContinuous"/>
    </xf>
    <xf numFmtId="0" fontId="5" fillId="0" borderId="2" xfId="0" applyFont="1" applyBorder="1" applyAlignment="1">
      <alignment horizontal="centerContinuous"/>
    </xf>
    <xf numFmtId="0" fontId="5" fillId="0" borderId="2" xfId="0" applyFont="1" applyFill="1" applyBorder="1" applyAlignment="1">
      <alignment horizontal="centerContinuous"/>
    </xf>
    <xf numFmtId="0" fontId="5" fillId="0" borderId="0" xfId="0" applyFont="1"/>
    <xf numFmtId="37" fontId="18" fillId="0" borderId="2" xfId="0" applyNumberFormat="1" applyFont="1" applyBorder="1" applyAlignment="1" applyProtection="1">
      <alignment horizontal="center"/>
    </xf>
    <xf numFmtId="0" fontId="5" fillId="0" borderId="2" xfId="0" applyFont="1" applyBorder="1" applyAlignment="1">
      <alignment horizontal="center"/>
    </xf>
    <xf numFmtId="0" fontId="5" fillId="0" borderId="9" xfId="0" applyFont="1" applyFill="1" applyBorder="1" applyAlignment="1">
      <alignment horizontal="center"/>
    </xf>
    <xf numFmtId="0" fontId="5" fillId="0" borderId="3" xfId="0" applyFont="1" applyBorder="1" applyAlignment="1">
      <alignment horizontal="center" wrapText="1"/>
    </xf>
    <xf numFmtId="0" fontId="5" fillId="0" borderId="3" xfId="0" applyFont="1" applyBorder="1" applyAlignment="1">
      <alignment horizontal="center"/>
    </xf>
    <xf numFmtId="0" fontId="5" fillId="0" borderId="3" xfId="0" applyFont="1" applyFill="1" applyBorder="1" applyAlignment="1">
      <alignment horizontal="center"/>
    </xf>
    <xf numFmtId="0" fontId="5" fillId="0" borderId="0" xfId="0" applyFont="1" applyAlignment="1">
      <alignment horizontal="center"/>
    </xf>
    <xf numFmtId="0" fontId="2" fillId="0" borderId="1" xfId="0" applyFont="1" applyBorder="1"/>
    <xf numFmtId="0" fontId="20" fillId="0" borderId="0" xfId="0" applyFont="1" applyFill="1" applyBorder="1"/>
    <xf numFmtId="0" fontId="4" fillId="0" borderId="0" xfId="0" applyFont="1"/>
    <xf numFmtId="0" fontId="4" fillId="0" borderId="0" xfId="0" applyFont="1" applyFill="1"/>
    <xf numFmtId="0" fontId="4" fillId="0" borderId="0" xfId="0" applyFont="1" applyBorder="1"/>
    <xf numFmtId="0" fontId="4" fillId="0" borderId="0" xfId="0" applyFont="1" applyFill="1" applyBorder="1"/>
    <xf numFmtId="49" fontId="4" fillId="0" borderId="0" xfId="0" applyNumberFormat="1" applyFont="1" applyBorder="1" applyAlignment="1">
      <alignment horizontal="right"/>
    </xf>
    <xf numFmtId="49" fontId="4" fillId="0" borderId="0" xfId="0" quotePrefix="1" applyNumberFormat="1" applyFont="1" applyFill="1" applyAlignment="1">
      <alignment horizontal="right"/>
    </xf>
    <xf numFmtId="0" fontId="2" fillId="0" borderId="0" xfId="0" applyFont="1" applyFill="1"/>
    <xf numFmtId="37" fontId="18" fillId="0" borderId="0" xfId="0" applyNumberFormat="1" applyFont="1" applyAlignment="1" applyProtection="1">
      <alignment horizontal="centerContinuous"/>
    </xf>
    <xf numFmtId="0" fontId="2" fillId="0" borderId="0" xfId="0" applyFont="1" applyBorder="1"/>
    <xf numFmtId="0" fontId="5" fillId="0" borderId="4" xfId="0" applyFont="1" applyFill="1" applyBorder="1" applyAlignment="1">
      <alignment horizontal="centerContinuous"/>
    </xf>
    <xf numFmtId="0" fontId="5" fillId="0" borderId="0" xfId="0" applyFont="1" applyBorder="1" applyAlignment="1">
      <alignment horizontal="center"/>
    </xf>
    <xf numFmtId="0" fontId="20" fillId="0" borderId="0" xfId="0" applyFont="1" applyFill="1" applyBorder="1" applyAlignment="1">
      <alignment wrapText="1"/>
    </xf>
    <xf numFmtId="0" fontId="0" fillId="0" borderId="0" xfId="0" applyAlignment="1">
      <alignment wrapText="1"/>
    </xf>
    <xf numFmtId="0" fontId="0" fillId="0" borderId="0" xfId="0" applyFill="1" applyAlignment="1">
      <alignment wrapText="1"/>
    </xf>
    <xf numFmtId="0" fontId="0" fillId="0" borderId="0" xfId="0" applyAlignment="1">
      <alignment horizontal="center"/>
    </xf>
    <xf numFmtId="0" fontId="0" fillId="0" borderId="0" xfId="0" applyBorder="1" applyAlignment="1">
      <alignment horizontal="center"/>
    </xf>
    <xf numFmtId="0" fontId="2" fillId="0" borderId="0" xfId="0" applyFont="1" applyAlignment="1">
      <alignment horizontal="center"/>
    </xf>
    <xf numFmtId="0" fontId="2" fillId="0" borderId="0" xfId="0" applyFont="1" applyBorder="1" applyAlignment="1">
      <alignment horizontal="center"/>
    </xf>
    <xf numFmtId="0" fontId="5" fillId="0" borderId="0" xfId="0" applyFont="1" applyFill="1"/>
    <xf numFmtId="0" fontId="5" fillId="0" borderId="0" xfId="0" applyFont="1" applyFill="1" applyAlignment="1">
      <alignment horizontal="center"/>
    </xf>
    <xf numFmtId="167" fontId="0" fillId="0" borderId="0" xfId="0" applyNumberFormat="1" applyBorder="1"/>
    <xf numFmtId="0" fontId="20" fillId="0" borderId="0" xfId="0" applyFont="1" applyFill="1" applyBorder="1" applyAlignment="1">
      <alignment vertical="top"/>
    </xf>
    <xf numFmtId="0" fontId="0" fillId="0" borderId="0" xfId="0" applyAlignment="1">
      <alignment vertical="top" wrapText="1"/>
    </xf>
    <xf numFmtId="37" fontId="17" fillId="0" borderId="0" xfId="0" applyNumberFormat="1" applyFont="1" applyAlignment="1" applyProtection="1">
      <alignment horizontal="center"/>
    </xf>
    <xf numFmtId="0" fontId="0" fillId="0" borderId="0" xfId="0" applyFill="1" applyAlignment="1">
      <alignment horizontal="center"/>
    </xf>
    <xf numFmtId="167" fontId="4" fillId="0" borderId="0" xfId="0" applyNumberFormat="1" applyFont="1" applyBorder="1"/>
    <xf numFmtId="0" fontId="0" fillId="0" borderId="0" xfId="0" applyBorder="1" applyAlignment="1">
      <alignment vertical="top"/>
    </xf>
    <xf numFmtId="0" fontId="16" fillId="0" borderId="0" xfId="0" applyFont="1" applyFill="1" applyAlignment="1">
      <alignment horizontal="centerContinuous"/>
    </xf>
    <xf numFmtId="0" fontId="16" fillId="0" borderId="0" xfId="0" applyFont="1" applyFill="1" applyBorder="1" applyAlignment="1">
      <alignment horizontal="centerContinuous"/>
    </xf>
    <xf numFmtId="0" fontId="2" fillId="0" borderId="0" xfId="0" applyFont="1" applyFill="1" applyBorder="1" applyAlignment="1">
      <alignment horizontal="centerContinuous"/>
    </xf>
    <xf numFmtId="37" fontId="21" fillId="0" borderId="0" xfId="0" applyNumberFormat="1" applyFont="1" applyFill="1" applyAlignment="1" applyProtection="1">
      <alignment horizontal="centerContinuous"/>
    </xf>
    <xf numFmtId="165" fontId="2" fillId="0" borderId="0" xfId="6" applyNumberFormat="1" applyFont="1" applyFill="1" applyBorder="1" applyAlignment="1">
      <alignment horizontal="left"/>
    </xf>
    <xf numFmtId="0" fontId="2" fillId="0" borderId="1" xfId="0" applyFont="1" applyFill="1" applyBorder="1"/>
    <xf numFmtId="3" fontId="2" fillId="0" borderId="1" xfId="0" applyNumberFormat="1" applyFont="1" applyFill="1" applyBorder="1"/>
    <xf numFmtId="0" fontId="2" fillId="0" borderId="1" xfId="0" applyFont="1" applyFill="1" applyBorder="1" applyAlignment="1">
      <alignment horizontal="left"/>
    </xf>
    <xf numFmtId="3" fontId="2" fillId="0" borderId="0" xfId="0" applyNumberFormat="1" applyFont="1" applyFill="1" applyBorder="1"/>
    <xf numFmtId="37" fontId="22" fillId="0" borderId="0" xfId="0" applyNumberFormat="1" applyFont="1" applyFill="1" applyBorder="1" applyProtection="1"/>
    <xf numFmtId="0" fontId="22" fillId="0" borderId="2" xfId="0" applyFont="1" applyFill="1" applyBorder="1" applyAlignment="1">
      <alignment horizontal="centerContinuous"/>
    </xf>
    <xf numFmtId="0" fontId="22" fillId="0" borderId="0" xfId="0" applyFont="1" applyFill="1" applyBorder="1" applyAlignment="1">
      <alignment horizontal="centerContinuous"/>
    </xf>
    <xf numFmtId="165" fontId="23" fillId="0" borderId="0" xfId="6" applyNumberFormat="1" applyFont="1" applyFill="1" applyBorder="1" applyAlignment="1">
      <alignment horizontal="left"/>
    </xf>
    <xf numFmtId="165" fontId="22" fillId="0" borderId="0" xfId="6" applyNumberFormat="1" applyFont="1" applyFill="1" applyBorder="1" applyAlignment="1">
      <alignment horizontal="centerContinuous"/>
    </xf>
    <xf numFmtId="0" fontId="22" fillId="0" borderId="0" xfId="0" applyFont="1" applyFill="1"/>
    <xf numFmtId="0" fontId="22" fillId="0" borderId="22" xfId="0" applyFont="1" applyFill="1" applyBorder="1" applyAlignment="1">
      <alignment horizontal="centerContinuous"/>
    </xf>
    <xf numFmtId="0" fontId="22" fillId="0" borderId="2" xfId="0" applyFont="1" applyFill="1" applyBorder="1" applyAlignment="1">
      <alignment horizontal="center" wrapText="1"/>
    </xf>
    <xf numFmtId="0" fontId="22" fillId="0" borderId="4" xfId="0" applyFont="1" applyFill="1" applyBorder="1" applyAlignment="1">
      <alignment horizontal="center" wrapText="1"/>
    </xf>
    <xf numFmtId="0" fontId="22" fillId="0" borderId="9" xfId="0" applyFont="1" applyFill="1" applyBorder="1" applyAlignment="1">
      <alignment horizontal="center"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0" fontId="22" fillId="0" borderId="7" xfId="0" applyFont="1" applyFill="1" applyBorder="1" applyAlignment="1">
      <alignment horizontal="center" wrapText="1"/>
    </xf>
    <xf numFmtId="3" fontId="25" fillId="0" borderId="0" xfId="0" applyNumberFormat="1" applyFont="1" applyFill="1"/>
    <xf numFmtId="0" fontId="25" fillId="0" borderId="0" xfId="0" applyFont="1" applyFill="1"/>
    <xf numFmtId="0" fontId="2" fillId="0" borderId="21" xfId="0" applyFont="1" applyFill="1" applyBorder="1" applyAlignment="1">
      <alignment horizontal="left"/>
    </xf>
    <xf numFmtId="167" fontId="2" fillId="0" borderId="0" xfId="1" applyNumberFormat="1" applyFont="1" applyFill="1" applyBorder="1" applyAlignment="1">
      <alignment horizontal="right"/>
    </xf>
    <xf numFmtId="167" fontId="2" fillId="0" borderId="6" xfId="1" applyNumberFormat="1" applyFont="1" applyFill="1" applyBorder="1" applyAlignment="1">
      <alignment horizontal="right"/>
    </xf>
    <xf numFmtId="169" fontId="2" fillId="0" borderId="0" xfId="1" applyNumberFormat="1" applyFont="1" applyFill="1" applyBorder="1" applyAlignment="1">
      <alignment horizontal="right"/>
    </xf>
    <xf numFmtId="0" fontId="2" fillId="0" borderId="21" xfId="0" applyFont="1" applyFill="1" applyBorder="1"/>
    <xf numFmtId="167" fontId="2" fillId="0" borderId="0" xfId="0" applyNumberFormat="1" applyFont="1" applyFill="1"/>
    <xf numFmtId="1" fontId="2" fillId="0" borderId="0" xfId="0" applyNumberFormat="1" applyFont="1" applyFill="1"/>
    <xf numFmtId="0" fontId="2" fillId="0" borderId="0" xfId="0" applyFont="1" applyFill="1" applyBorder="1"/>
    <xf numFmtId="167" fontId="2" fillId="0" borderId="11" xfId="1" applyNumberFormat="1" applyFont="1" applyFill="1" applyBorder="1" applyAlignment="1">
      <alignment horizontal="right"/>
    </xf>
    <xf numFmtId="2" fontId="2" fillId="0" borderId="0" xfId="1" applyNumberFormat="1" applyFont="1" applyFill="1" applyBorder="1" applyAlignment="1">
      <alignment horizontal="right"/>
    </xf>
    <xf numFmtId="2" fontId="2" fillId="0" borderId="11" xfId="1" applyNumberFormat="1" applyFont="1" applyFill="1" applyBorder="1" applyAlignment="1">
      <alignment horizontal="right"/>
    </xf>
    <xf numFmtId="168" fontId="4" fillId="0" borderId="0" xfId="6" applyNumberFormat="1" applyFont="1" applyFill="1" applyBorder="1" applyAlignment="1">
      <alignment horizontal="right"/>
    </xf>
    <xf numFmtId="168" fontId="4" fillId="0" borderId="0" xfId="6" applyNumberFormat="1" applyFont="1" applyFill="1" applyBorder="1" applyAlignment="1">
      <alignment horizontal="right" indent="1"/>
    </xf>
    <xf numFmtId="167" fontId="4" fillId="0" borderId="0" xfId="0" applyNumberFormat="1" applyFont="1" applyFill="1"/>
    <xf numFmtId="0" fontId="20" fillId="0" borderId="0" xfId="0" applyFont="1" applyFill="1" applyBorder="1" applyAlignment="1">
      <alignment wrapText="1"/>
    </xf>
    <xf numFmtId="0" fontId="0" fillId="0" borderId="0" xfId="0" applyFill="1" applyAlignment="1"/>
    <xf numFmtId="3" fontId="22" fillId="0" borderId="0" xfId="0" applyNumberFormat="1" applyFont="1" applyFill="1"/>
    <xf numFmtId="3" fontId="2" fillId="0" borderId="0" xfId="0" applyNumberFormat="1" applyFont="1" applyFill="1"/>
    <xf numFmtId="0" fontId="20" fillId="0" borderId="0" xfId="0" applyFont="1" applyFill="1"/>
    <xf numFmtId="168" fontId="4" fillId="0" borderId="0" xfId="0" applyNumberFormat="1" applyFont="1" applyFill="1"/>
    <xf numFmtId="0" fontId="4" fillId="0" borderId="0" xfId="0" applyFont="1" applyFill="1" applyAlignment="1">
      <alignment horizontal="centerContinuous"/>
    </xf>
    <xf numFmtId="0" fontId="20" fillId="0" borderId="0" xfId="0" applyFont="1" applyFill="1" applyBorder="1" applyAlignment="1">
      <alignment vertical="top" wrapText="1"/>
    </xf>
    <xf numFmtId="0" fontId="0" fillId="0" borderId="0" xfId="0" applyBorder="1" applyAlignment="1">
      <alignment vertical="top" wrapText="1"/>
    </xf>
    <xf numFmtId="0" fontId="2" fillId="0" borderId="0" xfId="0" applyFont="1" applyFill="1" applyBorder="1" applyAlignment="1">
      <alignment horizontal="left"/>
    </xf>
    <xf numFmtId="167" fontId="2" fillId="0" borderId="0" xfId="6" applyNumberFormat="1" applyFont="1" applyFill="1" applyBorder="1" applyAlignment="1"/>
    <xf numFmtId="167" fontId="2" fillId="0" borderId="0" xfId="1" quotePrefix="1" applyNumberFormat="1" applyFont="1" applyFill="1" applyBorder="1" applyAlignment="1">
      <alignment horizontal="right"/>
    </xf>
    <xf numFmtId="167" fontId="2" fillId="0" borderId="0" xfId="6" applyNumberFormat="1" applyFont="1" applyFill="1" applyBorder="1" applyAlignment="1">
      <alignment horizontal="right"/>
    </xf>
    <xf numFmtId="167" fontId="2" fillId="0" borderId="0" xfId="6" applyNumberFormat="1" applyFont="1" applyFill="1" applyBorder="1" applyAlignment="1">
      <alignment horizontal="right" indent="1"/>
    </xf>
    <xf numFmtId="0" fontId="4" fillId="0" borderId="0" xfId="0" applyFont="1" applyFill="1" applyBorder="1" applyAlignment="1">
      <alignment horizontal="left"/>
    </xf>
    <xf numFmtId="167" fontId="2" fillId="0" borderId="0" xfId="1" quotePrefix="1" applyNumberFormat="1" applyFont="1" applyFill="1" applyBorder="1" applyAlignment="1">
      <alignment horizontal="left"/>
    </xf>
    <xf numFmtId="167" fontId="2" fillId="0" borderId="0" xfId="0" applyNumberFormat="1" applyFont="1" applyFill="1" applyBorder="1"/>
    <xf numFmtId="0" fontId="2" fillId="0" borderId="0" xfId="0" applyFont="1" applyFill="1" applyAlignment="1">
      <alignment horizontal="left"/>
    </xf>
    <xf numFmtId="165" fontId="26" fillId="0" borderId="0" xfId="6" applyNumberFormat="1" applyFont="1" applyFill="1" applyBorder="1" applyAlignment="1">
      <alignment horizontal="left"/>
    </xf>
    <xf numFmtId="165" fontId="26" fillId="0" borderId="0" xfId="6" applyNumberFormat="1" applyFont="1" applyFill="1" applyBorder="1" applyAlignment="1">
      <alignment horizontal="centerContinuous"/>
    </xf>
    <xf numFmtId="0" fontId="10" fillId="0" borderId="0" xfId="0" applyFont="1" applyFill="1"/>
    <xf numFmtId="165" fontId="10" fillId="0" borderId="0" xfId="6" applyNumberFormat="1" applyFont="1" applyFill="1" applyBorder="1" applyAlignment="1">
      <alignment horizontal="left"/>
    </xf>
    <xf numFmtId="165" fontId="10" fillId="0" borderId="0" xfId="6" applyNumberFormat="1" applyFont="1" applyFill="1" applyBorder="1" applyAlignment="1">
      <alignment horizontal="centerContinuous"/>
    </xf>
    <xf numFmtId="165" fontId="10" fillId="0" borderId="0" xfId="6" applyNumberFormat="1" applyFont="1" applyFill="1" applyBorder="1"/>
    <xf numFmtId="165" fontId="30" fillId="0" borderId="0" xfId="6" applyNumberFormat="1" applyFont="1" applyFill="1" applyBorder="1" applyAlignment="1">
      <alignment horizontal="left"/>
    </xf>
    <xf numFmtId="165" fontId="25" fillId="0" borderId="0" xfId="6" applyNumberFormat="1" applyFont="1" applyFill="1" applyBorder="1" applyAlignment="1">
      <alignment horizontal="centerContinuous"/>
    </xf>
    <xf numFmtId="168" fontId="10" fillId="0" borderId="0" xfId="6" applyNumberFormat="1" applyFont="1" applyFill="1" applyBorder="1" applyAlignment="1">
      <alignment horizontal="right"/>
    </xf>
    <xf numFmtId="167" fontId="10" fillId="0" borderId="0" xfId="0" applyNumberFormat="1" applyFont="1" applyFill="1"/>
    <xf numFmtId="1" fontId="10" fillId="0" borderId="0" xfId="0" applyNumberFormat="1" applyFont="1" applyFill="1"/>
    <xf numFmtId="0" fontId="10" fillId="0" borderId="0" xfId="0" applyFont="1" applyFill="1" applyBorder="1"/>
    <xf numFmtId="168" fontId="28" fillId="0" borderId="0" xfId="6" applyNumberFormat="1" applyFont="1" applyFill="1" applyBorder="1" applyAlignment="1">
      <alignment horizontal="right"/>
    </xf>
    <xf numFmtId="167" fontId="28" fillId="0" borderId="0" xfId="0" applyNumberFormat="1" applyFont="1" applyFill="1"/>
    <xf numFmtId="0" fontId="28" fillId="0" borderId="0" xfId="0" applyFont="1" applyFill="1"/>
    <xf numFmtId="3" fontId="10" fillId="0" borderId="0" xfId="0" applyNumberFormat="1" applyFont="1" applyFill="1"/>
    <xf numFmtId="0" fontId="28" fillId="0" borderId="0" xfId="0" applyFont="1" applyFill="1" applyBorder="1"/>
    <xf numFmtId="165" fontId="28" fillId="0" borderId="0" xfId="6" applyNumberFormat="1" applyFont="1" applyFill="1" applyBorder="1"/>
    <xf numFmtId="167" fontId="10" fillId="0" borderId="0" xfId="0" applyNumberFormat="1" applyFont="1" applyFill="1" applyBorder="1"/>
    <xf numFmtId="165" fontId="28" fillId="0" borderId="0" xfId="6" applyNumberFormat="1" applyFont="1" applyFill="1" applyBorder="1" applyAlignment="1">
      <alignment horizontal="left"/>
    </xf>
    <xf numFmtId="167" fontId="29" fillId="0" borderId="0" xfId="0" applyNumberFormat="1" applyFont="1"/>
    <xf numFmtId="167" fontId="31" fillId="0" borderId="10" xfId="6" applyNumberFormat="1" applyFont="1" applyFill="1" applyBorder="1" applyAlignment="1">
      <alignment horizontal="right"/>
    </xf>
    <xf numFmtId="0" fontId="14" fillId="0" borderId="0" xfId="0" applyFont="1" applyFill="1" applyAlignment="1"/>
    <xf numFmtId="0" fontId="14" fillId="0" borderId="0" xfId="0" applyFont="1" applyBorder="1" applyAlignment="1">
      <alignment vertical="top" wrapText="1"/>
    </xf>
    <xf numFmtId="0" fontId="14" fillId="0" borderId="0" xfId="0" applyFont="1" applyFill="1" applyBorder="1" applyAlignment="1">
      <alignment vertical="top" wrapText="1"/>
    </xf>
    <xf numFmtId="0" fontId="14" fillId="0" borderId="0" xfId="0" applyFont="1" applyAlignment="1">
      <alignment wrapText="1"/>
    </xf>
    <xf numFmtId="49" fontId="15" fillId="0" borderId="0" xfId="0" applyNumberFormat="1" applyFont="1" applyFill="1" applyAlignment="1" applyProtection="1">
      <alignment horizontal="centerContinuous"/>
      <protection locked="0"/>
    </xf>
    <xf numFmtId="37" fontId="18" fillId="0" borderId="1" xfId="0" applyNumberFormat="1" applyFont="1" applyBorder="1" applyAlignment="1" applyProtection="1">
      <alignment horizontal="centerContinuous"/>
    </xf>
    <xf numFmtId="0" fontId="0" fillId="0" borderId="1" xfId="0" applyBorder="1" applyAlignment="1">
      <alignment horizontal="centerContinuous"/>
    </xf>
    <xf numFmtId="0" fontId="0" fillId="0" borderId="1" xfId="0" applyFill="1" applyBorder="1" applyAlignment="1">
      <alignment horizontal="centerContinuous"/>
    </xf>
    <xf numFmtId="167" fontId="2" fillId="0" borderId="0" xfId="0" applyNumberFormat="1" applyFont="1" applyAlignment="1">
      <alignment horizontal="center"/>
    </xf>
    <xf numFmtId="167" fontId="2" fillId="0" borderId="1" xfId="0" applyNumberFormat="1" applyFont="1" applyBorder="1" applyAlignment="1">
      <alignment horizontal="center"/>
    </xf>
    <xf numFmtId="167" fontId="2" fillId="0" borderId="12" xfId="0" applyNumberFormat="1" applyFont="1" applyFill="1" applyBorder="1" applyAlignment="1">
      <alignment horizontal="center"/>
    </xf>
    <xf numFmtId="167" fontId="2" fillId="0" borderId="10" xfId="0" applyNumberFormat="1" applyFont="1" applyFill="1" applyBorder="1" applyAlignment="1">
      <alignment horizontal="center"/>
    </xf>
    <xf numFmtId="167" fontId="2" fillId="0" borderId="13" xfId="0" applyNumberFormat="1" applyFont="1" applyFill="1" applyBorder="1" applyAlignment="1">
      <alignment horizontal="center"/>
    </xf>
    <xf numFmtId="167" fontId="2" fillId="0" borderId="5" xfId="0" applyNumberFormat="1" applyFont="1" applyBorder="1" applyAlignment="1">
      <alignment horizontal="center"/>
    </xf>
    <xf numFmtId="167" fontId="2" fillId="0" borderId="7" xfId="0" applyNumberFormat="1" applyFont="1" applyBorder="1" applyAlignment="1">
      <alignment horizontal="center"/>
    </xf>
    <xf numFmtId="167" fontId="2" fillId="0" borderId="8" xfId="0" applyNumberFormat="1" applyFont="1" applyBorder="1" applyAlignment="1">
      <alignment horizontal="center"/>
    </xf>
    <xf numFmtId="167" fontId="2" fillId="0" borderId="5" xfId="0" applyNumberFormat="1" applyFont="1" applyBorder="1"/>
    <xf numFmtId="167" fontId="2" fillId="0" borderId="7" xfId="0" applyNumberFormat="1" applyFont="1" applyBorder="1"/>
    <xf numFmtId="167" fontId="2" fillId="0" borderId="0" xfId="0" applyNumberFormat="1" applyFont="1"/>
    <xf numFmtId="167" fontId="2" fillId="0" borderId="1" xfId="0" applyNumberFormat="1" applyFont="1" applyBorder="1"/>
    <xf numFmtId="167" fontId="2" fillId="0" borderId="22" xfId="0" applyNumberFormat="1" applyFont="1" applyFill="1" applyBorder="1" applyAlignment="1">
      <alignment horizontal="center"/>
    </xf>
    <xf numFmtId="167" fontId="2" fillId="0" borderId="5" xfId="0" applyNumberFormat="1" applyFont="1" applyFill="1" applyBorder="1" applyAlignment="1">
      <alignment horizontal="center"/>
    </xf>
    <xf numFmtId="167" fontId="2" fillId="0" borderId="7" xfId="0" applyNumberFormat="1" applyFont="1" applyFill="1" applyBorder="1" applyAlignment="1">
      <alignment horizontal="center"/>
    </xf>
    <xf numFmtId="0" fontId="2" fillId="0" borderId="5" xfId="0" applyFont="1" applyFill="1" applyBorder="1"/>
    <xf numFmtId="0" fontId="4" fillId="0" borderId="5" xfId="0" applyFont="1" applyBorder="1"/>
    <xf numFmtId="167" fontId="2" fillId="0" borderId="0" xfId="0" applyNumberFormat="1" applyFont="1" applyFill="1" applyAlignment="1">
      <alignment horizontal="center"/>
    </xf>
    <xf numFmtId="0" fontId="2" fillId="0" borderId="5" xfId="0" applyFont="1" applyBorder="1"/>
    <xf numFmtId="167" fontId="14" fillId="0" borderId="5" xfId="0" applyNumberFormat="1" applyFont="1" applyBorder="1" applyAlignment="1">
      <alignment horizontal="center"/>
    </xf>
    <xf numFmtId="167" fontId="2" fillId="0" borderId="21" xfId="0" applyNumberFormat="1" applyFont="1" applyBorder="1" applyAlignment="1">
      <alignment horizontal="center"/>
    </xf>
    <xf numFmtId="167" fontId="2" fillId="0" borderId="0" xfId="0" applyNumberFormat="1" applyFont="1" applyBorder="1" applyAlignment="1">
      <alignment horizontal="center"/>
    </xf>
    <xf numFmtId="0" fontId="0" fillId="0" borderId="0" xfId="0" applyFill="1" applyBorder="1"/>
    <xf numFmtId="0" fontId="0" fillId="0" borderId="0" xfId="0" applyBorder="1" applyAlignment="1" applyProtection="1">
      <alignment vertical="center" wrapText="1"/>
      <protection locked="0"/>
    </xf>
    <xf numFmtId="0" fontId="0" fillId="5" borderId="5" xfId="0" applyFill="1" applyBorder="1"/>
    <xf numFmtId="0" fontId="0" fillId="5" borderId="0" xfId="0" applyFill="1" applyBorder="1"/>
    <xf numFmtId="0" fontId="0" fillId="5" borderId="0" xfId="0" applyFill="1"/>
    <xf numFmtId="0" fontId="0" fillId="3" borderId="5" xfId="0" applyFill="1" applyBorder="1"/>
    <xf numFmtId="0" fontId="0" fillId="3" borderId="0" xfId="0" applyFill="1" applyBorder="1"/>
    <xf numFmtId="0" fontId="0" fillId="3" borderId="0" xfId="0" applyFill="1"/>
    <xf numFmtId="0" fontId="0" fillId="8" borderId="5" xfId="0" applyFill="1" applyBorder="1"/>
    <xf numFmtId="0" fontId="0" fillId="8" borderId="0" xfId="0" applyFill="1" applyBorder="1"/>
    <xf numFmtId="0" fontId="0" fillId="5" borderId="7" xfId="0" applyFill="1" applyBorder="1" applyAlignment="1">
      <alignment horizontal="centerContinuous"/>
    </xf>
    <xf numFmtId="0" fontId="0" fillId="5" borderId="8" xfId="0" applyFill="1" applyBorder="1" applyAlignment="1">
      <alignment horizontal="centerContinuous"/>
    </xf>
    <xf numFmtId="0" fontId="0" fillId="5" borderId="1" xfId="0" applyFill="1" applyBorder="1" applyAlignment="1">
      <alignment horizontal="centerContinuous"/>
    </xf>
    <xf numFmtId="0" fontId="0" fillId="3" borderId="7" xfId="0" applyFill="1" applyBorder="1" applyAlignment="1">
      <alignment horizontal="centerContinuous"/>
    </xf>
    <xf numFmtId="0" fontId="0" fillId="3" borderId="1" xfId="0" applyFill="1" applyBorder="1" applyAlignment="1">
      <alignment horizontal="centerContinuous"/>
    </xf>
    <xf numFmtId="0" fontId="0" fillId="8" borderId="7" xfId="0" applyFill="1" applyBorder="1" applyAlignment="1">
      <alignment horizontal="centerContinuous"/>
    </xf>
    <xf numFmtId="0" fontId="0" fillId="8" borderId="1" xfId="0" applyFill="1" applyBorder="1" applyAlignment="1">
      <alignment horizontal="centerContinuous"/>
    </xf>
    <xf numFmtId="0" fontId="0" fillId="0" borderId="0" xfId="0" applyAlignment="1">
      <alignment horizontal="right"/>
    </xf>
    <xf numFmtId="165" fontId="0" fillId="0" borderId="5" xfId="6" applyNumberFormat="1" applyFont="1" applyBorder="1"/>
    <xf numFmtId="165" fontId="0" fillId="0" borderId="0" xfId="6" applyNumberFormat="1" applyFont="1"/>
    <xf numFmtId="165" fontId="0" fillId="5" borderId="0" xfId="6" applyNumberFormat="1" applyFont="1" applyFill="1" applyBorder="1"/>
    <xf numFmtId="165" fontId="0" fillId="0" borderId="0" xfId="6" applyNumberFormat="1" applyFont="1" applyBorder="1"/>
    <xf numFmtId="165" fontId="0" fillId="3" borderId="0" xfId="6" applyNumberFormat="1" applyFont="1" applyFill="1" applyBorder="1"/>
    <xf numFmtId="165" fontId="0" fillId="8" borderId="5" xfId="6" applyNumberFormat="1" applyFont="1" applyFill="1" applyBorder="1"/>
    <xf numFmtId="165" fontId="0" fillId="8" borderId="0" xfId="6" applyNumberFormat="1" applyFont="1" applyFill="1" applyBorder="1"/>
    <xf numFmtId="0" fontId="14" fillId="0" borderId="0" xfId="0" applyFont="1" applyAlignment="1">
      <alignment horizontal="centerContinuous"/>
    </xf>
    <xf numFmtId="0" fontId="14" fillId="0" borderId="0" xfId="0" applyFont="1" applyFill="1" applyAlignment="1">
      <alignment horizontal="centerContinuous"/>
    </xf>
    <xf numFmtId="0" fontId="14" fillId="0" borderId="0" xfId="0" applyFont="1" applyBorder="1" applyAlignment="1">
      <alignment horizontal="centerContinuous"/>
    </xf>
    <xf numFmtId="0" fontId="14" fillId="0" borderId="0" xfId="0" applyFont="1"/>
    <xf numFmtId="37" fontId="21" fillId="0" borderId="0" xfId="0" applyNumberFormat="1" applyFont="1" applyAlignment="1" applyProtection="1">
      <alignment horizontal="centerContinuous"/>
    </xf>
    <xf numFmtId="37" fontId="5" fillId="0" borderId="1" xfId="0" applyNumberFormat="1" applyFont="1" applyBorder="1" applyProtection="1"/>
    <xf numFmtId="0" fontId="14" fillId="0" borderId="1" xfId="0" applyFont="1" applyBorder="1"/>
    <xf numFmtId="0" fontId="14" fillId="0" borderId="1" xfId="0" applyFont="1" applyFill="1" applyBorder="1"/>
    <xf numFmtId="0" fontId="14" fillId="0" borderId="0" xfId="0" applyFont="1" applyBorder="1"/>
    <xf numFmtId="0" fontId="14" fillId="0" borderId="0" xfId="0" applyFont="1" applyFill="1"/>
    <xf numFmtId="37" fontId="5" fillId="0" borderId="2" xfId="0" applyNumberFormat="1" applyFont="1" applyBorder="1" applyProtection="1"/>
    <xf numFmtId="37" fontId="5" fillId="0" borderId="2" xfId="0" applyNumberFormat="1" applyFont="1" applyBorder="1" applyAlignment="1" applyProtection="1">
      <alignment horizontal="center"/>
    </xf>
    <xf numFmtId="37" fontId="5" fillId="0" borderId="0" xfId="0" applyNumberFormat="1" applyFont="1" applyAlignment="1" applyProtection="1">
      <alignment horizontal="centerContinuous"/>
    </xf>
    <xf numFmtId="0" fontId="14" fillId="0" borderId="0" xfId="0" applyFont="1" applyFill="1" applyAlignment="1">
      <alignment wrapText="1"/>
    </xf>
    <xf numFmtId="0" fontId="14" fillId="0" borderId="0" xfId="0" applyFont="1" applyAlignment="1">
      <alignment horizontal="center"/>
    </xf>
    <xf numFmtId="0" fontId="14" fillId="0" borderId="0" xfId="0" applyFont="1" applyBorder="1" applyAlignment="1">
      <alignment horizontal="center"/>
    </xf>
    <xf numFmtId="167" fontId="14" fillId="0" borderId="0" xfId="0" applyNumberFormat="1" applyFont="1" applyBorder="1"/>
    <xf numFmtId="0" fontId="14" fillId="0" borderId="0" xfId="0" applyFont="1" applyAlignment="1">
      <alignment vertical="top" wrapText="1"/>
    </xf>
    <xf numFmtId="37" fontId="21" fillId="0" borderId="0" xfId="0" applyNumberFormat="1" applyFont="1" applyAlignment="1" applyProtection="1">
      <alignment horizontal="center"/>
    </xf>
    <xf numFmtId="0" fontId="14" fillId="0" borderId="0" xfId="0" applyFont="1" applyFill="1" applyAlignment="1">
      <alignment horizontal="center"/>
    </xf>
    <xf numFmtId="0" fontId="14" fillId="0" borderId="0" xfId="0" applyFont="1" applyBorder="1" applyAlignment="1">
      <alignment vertical="top"/>
    </xf>
    <xf numFmtId="0" fontId="27" fillId="0" borderId="0" xfId="0" applyFont="1" applyAlignment="1">
      <alignment horizontal="center"/>
    </xf>
    <xf numFmtId="0" fontId="27" fillId="0" borderId="0" xfId="0" applyFont="1"/>
    <xf numFmtId="167" fontId="14" fillId="0" borderId="0" xfId="0" applyNumberFormat="1" applyFont="1" applyFill="1"/>
    <xf numFmtId="167" fontId="14" fillId="0" borderId="0" xfId="0" applyNumberFormat="1" applyFont="1" applyFill="1" applyBorder="1" applyAlignment="1">
      <alignment horizontal="right"/>
    </xf>
    <xf numFmtId="0" fontId="5" fillId="0" borderId="0" xfId="0" applyFont="1" applyFill="1" applyBorder="1"/>
    <xf numFmtId="0" fontId="5" fillId="0" borderId="0" xfId="0" applyFont="1" applyFill="1" applyBorder="1" applyAlignment="1">
      <alignment horizontal="center"/>
    </xf>
    <xf numFmtId="167" fontId="2" fillId="0" borderId="0" xfId="0" applyNumberFormat="1" applyFont="1" applyFill="1" applyBorder="1" applyAlignment="1">
      <alignment horizontal="right"/>
    </xf>
    <xf numFmtId="0" fontId="14" fillId="0" borderId="0" xfId="0" applyFont="1" applyFill="1" applyBorder="1"/>
    <xf numFmtId="2" fontId="2" fillId="0" borderId="0" xfId="0" applyNumberFormat="1" applyFont="1" applyFill="1" applyBorder="1" applyAlignment="1">
      <alignment horizontal="right"/>
    </xf>
    <xf numFmtId="0" fontId="14" fillId="0" borderId="16" xfId="0" applyFont="1" applyFill="1" applyBorder="1"/>
    <xf numFmtId="0" fontId="14" fillId="0" borderId="17" xfId="0" applyFont="1" applyFill="1" applyBorder="1"/>
    <xf numFmtId="9" fontId="14" fillId="0" borderId="15" xfId="0" applyNumberFormat="1" applyFont="1" applyFill="1" applyBorder="1"/>
    <xf numFmtId="9" fontId="14" fillId="0" borderId="17" xfId="0" applyNumberFormat="1" applyFont="1" applyFill="1" applyBorder="1"/>
    <xf numFmtId="9" fontId="14" fillId="0" borderId="18" xfId="0" applyNumberFormat="1" applyFont="1" applyFill="1" applyBorder="1"/>
    <xf numFmtId="0" fontId="14" fillId="0" borderId="19" xfId="0" applyFont="1" applyFill="1" applyBorder="1"/>
    <xf numFmtId="0" fontId="14" fillId="0" borderId="20" xfId="0" applyFont="1" applyFill="1" applyBorder="1"/>
    <xf numFmtId="0" fontId="14" fillId="0" borderId="21" xfId="0" applyFont="1" applyFill="1" applyBorder="1"/>
    <xf numFmtId="0" fontId="14" fillId="0" borderId="22" xfId="0" applyFont="1" applyFill="1" applyBorder="1"/>
    <xf numFmtId="0" fontId="14" fillId="0" borderId="23" xfId="0" applyFont="1" applyFill="1" applyBorder="1"/>
    <xf numFmtId="0" fontId="14" fillId="0" borderId="15" xfId="0" applyFont="1" applyFill="1" applyBorder="1"/>
    <xf numFmtId="0" fontId="14" fillId="0" borderId="24" xfId="0" applyFont="1" applyFill="1" applyBorder="1"/>
    <xf numFmtId="0" fontId="14" fillId="0" borderId="25" xfId="0" applyFont="1" applyFill="1" applyBorder="1"/>
    <xf numFmtId="0" fontId="14" fillId="0" borderId="26" xfId="0" applyFont="1" applyFill="1" applyBorder="1"/>
    <xf numFmtId="0" fontId="32" fillId="0" borderId="16" xfId="0" applyFont="1" applyFill="1" applyBorder="1"/>
    <xf numFmtId="166" fontId="14" fillId="0" borderId="16" xfId="0" applyNumberFormat="1" applyFont="1" applyFill="1" applyBorder="1"/>
    <xf numFmtId="166" fontId="14" fillId="0" borderId="15" xfId="0" applyNumberFormat="1" applyFont="1" applyFill="1" applyBorder="1"/>
    <xf numFmtId="166" fontId="14" fillId="0" borderId="27" xfId="0" applyNumberFormat="1" applyFont="1" applyFill="1" applyBorder="1"/>
    <xf numFmtId="166" fontId="14" fillId="0" borderId="28" xfId="0" applyNumberFormat="1" applyFont="1" applyFill="1" applyBorder="1"/>
    <xf numFmtId="0" fontId="32" fillId="0" borderId="25" xfId="0" applyFont="1" applyFill="1" applyBorder="1"/>
    <xf numFmtId="0" fontId="14" fillId="0" borderId="14" xfId="0" applyFont="1" applyFill="1" applyBorder="1"/>
    <xf numFmtId="166" fontId="14" fillId="0" borderId="14" xfId="0" applyNumberFormat="1" applyFont="1" applyFill="1" applyBorder="1"/>
    <xf numFmtId="166" fontId="14" fillId="0" borderId="0" xfId="0" applyNumberFormat="1" applyFont="1" applyFill="1" applyBorder="1"/>
    <xf numFmtId="166" fontId="14" fillId="0" borderId="5" xfId="0" applyNumberFormat="1" applyFont="1" applyFill="1" applyBorder="1"/>
    <xf numFmtId="166" fontId="14" fillId="0" borderId="29" xfId="0" applyNumberFormat="1" applyFont="1" applyFill="1" applyBorder="1"/>
    <xf numFmtId="168" fontId="14" fillId="0" borderId="0" xfId="11" applyNumberFormat="1" applyFont="1" applyFill="1"/>
    <xf numFmtId="0" fontId="32" fillId="0" borderId="30" xfId="0" applyFont="1" applyFill="1" applyBorder="1"/>
    <xf numFmtId="168" fontId="14" fillId="0" borderId="0" xfId="6" applyNumberFormat="1" applyFont="1" applyFill="1"/>
    <xf numFmtId="0" fontId="22" fillId="0" borderId="3" xfId="0" applyFont="1" applyFill="1" applyBorder="1" applyAlignment="1">
      <alignment horizontal="center"/>
    </xf>
    <xf numFmtId="37" fontId="22" fillId="0" borderId="2" xfId="0" applyNumberFormat="1" applyFont="1" applyBorder="1" applyProtection="1"/>
    <xf numFmtId="0" fontId="22" fillId="0" borderId="3" xfId="0" applyFont="1" applyBorder="1" applyAlignment="1">
      <alignment horizontal="centerContinuous"/>
    </xf>
    <xf numFmtId="0" fontId="22" fillId="0" borderId="2" xfId="0" applyFont="1" applyBorder="1" applyAlignment="1">
      <alignment horizontal="centerContinuous"/>
    </xf>
    <xf numFmtId="37" fontId="22" fillId="0" borderId="2" xfId="0" applyNumberFormat="1" applyFont="1" applyBorder="1" applyAlignment="1" applyProtection="1">
      <alignment horizontal="center"/>
    </xf>
    <xf numFmtId="0" fontId="22" fillId="0" borderId="2" xfId="0" applyFont="1" applyBorder="1" applyAlignment="1">
      <alignment horizontal="center"/>
    </xf>
    <xf numFmtId="0" fontId="22" fillId="0" borderId="9" xfId="0" applyFont="1" applyFill="1" applyBorder="1" applyAlignment="1">
      <alignment horizontal="center"/>
    </xf>
    <xf numFmtId="0" fontId="22" fillId="0" borderId="3" xfId="0" applyFont="1" applyBorder="1" applyAlignment="1">
      <alignment horizontal="center" wrapText="1"/>
    </xf>
    <xf numFmtId="0" fontId="22" fillId="0" borderId="3" xfId="0" applyFont="1" applyBorder="1" applyAlignment="1">
      <alignment horizontal="center"/>
    </xf>
    <xf numFmtId="167" fontId="33" fillId="0" borderId="0" xfId="0" applyNumberFormat="1" applyFont="1" applyAlignment="1">
      <alignment horizontal="center"/>
    </xf>
    <xf numFmtId="167" fontId="33" fillId="0" borderId="10" xfId="0" applyNumberFormat="1" applyFont="1" applyFill="1" applyBorder="1" applyAlignment="1">
      <alignment horizontal="center"/>
    </xf>
    <xf numFmtId="167" fontId="33" fillId="0" borderId="5" xfId="0" applyNumberFormat="1" applyFont="1" applyBorder="1" applyAlignment="1">
      <alignment horizontal="center"/>
    </xf>
    <xf numFmtId="167" fontId="33" fillId="0" borderId="5" xfId="0" applyNumberFormat="1" applyFont="1" applyBorder="1"/>
    <xf numFmtId="167" fontId="33" fillId="0" borderId="0" xfId="0" applyNumberFormat="1" applyFont="1"/>
    <xf numFmtId="167" fontId="33" fillId="0" borderId="5" xfId="0" applyNumberFormat="1" applyFont="1" applyFill="1" applyBorder="1" applyAlignment="1">
      <alignment horizontal="center"/>
    </xf>
    <xf numFmtId="167" fontId="33" fillId="0" borderId="1" xfId="0" applyNumberFormat="1" applyFont="1" applyBorder="1" applyAlignment="1">
      <alignment horizontal="center"/>
    </xf>
    <xf numFmtId="167" fontId="33" fillId="0" borderId="7" xfId="0" applyNumberFormat="1" applyFont="1" applyFill="1" applyBorder="1" applyAlignment="1">
      <alignment horizontal="center"/>
    </xf>
    <xf numFmtId="167" fontId="33" fillId="0" borderId="21" xfId="0" applyNumberFormat="1" applyFont="1" applyBorder="1" applyAlignment="1">
      <alignment horizontal="center"/>
    </xf>
    <xf numFmtId="167" fontId="33" fillId="0" borderId="22" xfId="0" applyNumberFormat="1" applyFont="1" applyFill="1" applyBorder="1" applyAlignment="1">
      <alignment horizontal="center"/>
    </xf>
    <xf numFmtId="167" fontId="33" fillId="0" borderId="0" xfId="0" applyNumberFormat="1" applyFont="1" applyBorder="1" applyAlignment="1">
      <alignment horizontal="center"/>
    </xf>
    <xf numFmtId="49" fontId="34" fillId="9" borderId="31" xfId="12" applyNumberFormat="1" applyFont="1" applyFill="1" applyBorder="1" applyAlignment="1" applyProtection="1">
      <alignment horizontal="center"/>
      <protection locked="0"/>
    </xf>
    <xf numFmtId="49" fontId="34" fillId="9" borderId="32" xfId="12" applyNumberFormat="1" applyFont="1" applyFill="1" applyBorder="1" applyAlignment="1" applyProtection="1">
      <alignment horizontal="left"/>
      <protection locked="0"/>
    </xf>
    <xf numFmtId="1" fontId="34" fillId="9" borderId="32" xfId="12" applyNumberFormat="1" applyFont="1" applyFill="1" applyBorder="1" applyAlignment="1" applyProtection="1">
      <alignment horizontal="center"/>
      <protection locked="0"/>
    </xf>
    <xf numFmtId="1" fontId="34" fillId="9" borderId="33" xfId="12" applyNumberFormat="1" applyFont="1" applyFill="1" applyBorder="1" applyAlignment="1" applyProtection="1">
      <alignment horizontal="center"/>
      <protection locked="0"/>
    </xf>
    <xf numFmtId="0" fontId="35" fillId="10" borderId="34" xfId="3" applyFont="1" applyFill="1" applyBorder="1" applyAlignment="1" applyProtection="1">
      <alignment horizontal="center" wrapText="1"/>
    </xf>
    <xf numFmtId="0" fontId="35" fillId="11" borderId="7" xfId="3" applyFont="1" applyFill="1" applyBorder="1" applyAlignment="1" applyProtection="1">
      <alignment horizontal="center" wrapText="1"/>
    </xf>
    <xf numFmtId="0" fontId="5" fillId="12" borderId="13" xfId="3" applyFont="1" applyFill="1" applyBorder="1" applyAlignment="1" applyProtection="1">
      <alignment horizontal="center" wrapText="1"/>
      <protection locked="0"/>
    </xf>
    <xf numFmtId="0" fontId="5" fillId="0" borderId="13" xfId="3" applyFont="1" applyFill="1" applyBorder="1" applyAlignment="1" applyProtection="1">
      <alignment horizontal="center" wrapText="1"/>
      <protection locked="0"/>
    </xf>
    <xf numFmtId="0" fontId="5" fillId="0" borderId="0" xfId="2" applyFont="1" applyFill="1" applyProtection="1">
      <protection locked="0"/>
    </xf>
    <xf numFmtId="0" fontId="35" fillId="0" borderId="7" xfId="3" applyFont="1" applyFill="1" applyBorder="1" applyAlignment="1">
      <alignment horizontal="centerContinuous" wrapText="1"/>
    </xf>
    <xf numFmtId="0" fontId="35" fillId="0" borderId="8" xfId="3" applyFont="1" applyFill="1" applyBorder="1" applyAlignment="1">
      <alignment horizontal="centerContinuous" wrapText="1"/>
    </xf>
    <xf numFmtId="0" fontId="6" fillId="0" borderId="8" xfId="3" applyFont="1" applyFill="1" applyBorder="1" applyAlignment="1">
      <alignment horizontal="centerContinuous" wrapText="1"/>
    </xf>
    <xf numFmtId="0" fontId="5" fillId="0" borderId="7" xfId="3" applyFont="1" applyFill="1" applyBorder="1" applyAlignment="1">
      <alignment horizontal="centerContinuous" wrapText="1"/>
    </xf>
    <xf numFmtId="0" fontId="2" fillId="0" borderId="5" xfId="3" applyFont="1" applyFill="1" applyBorder="1" applyAlignment="1"/>
    <xf numFmtId="0" fontId="2" fillId="0" borderId="1" xfId="3" applyFont="1" applyFill="1" applyBorder="1" applyAlignment="1">
      <alignment horizontal="centerContinuous"/>
    </xf>
    <xf numFmtId="0" fontId="2" fillId="0" borderId="8" xfId="3" applyFont="1" applyFill="1" applyBorder="1" applyAlignment="1">
      <alignment horizontal="centerContinuous"/>
    </xf>
    <xf numFmtId="0" fontId="5" fillId="0" borderId="8" xfId="3" applyFont="1" applyBorder="1" applyAlignment="1">
      <alignment horizontal="centerContinuous" wrapText="1"/>
    </xf>
    <xf numFmtId="0" fontId="2" fillId="0" borderId="2" xfId="3" applyFont="1" applyFill="1" applyBorder="1" applyAlignment="1">
      <alignment horizontal="centerContinuous"/>
    </xf>
    <xf numFmtId="0" fontId="5" fillId="0" borderId="2" xfId="3" applyFont="1" applyFill="1" applyBorder="1" applyAlignment="1">
      <alignment horizontal="centerContinuous"/>
    </xf>
    <xf numFmtId="0" fontId="2" fillId="0" borderId="2" xfId="2" applyFont="1" applyBorder="1" applyAlignment="1">
      <alignment horizontal="centerContinuous"/>
    </xf>
    <xf numFmtId="0" fontId="5" fillId="0" borderId="13" xfId="3" applyFont="1" applyFill="1" applyBorder="1" applyAlignment="1">
      <alignment horizontal="center" wrapText="1"/>
    </xf>
    <xf numFmtId="0" fontId="5" fillId="0" borderId="13" xfId="3" applyFont="1" applyFill="1" applyBorder="1" applyAlignment="1">
      <alignment horizontal="centerContinuous" wrapText="1"/>
    </xf>
    <xf numFmtId="0" fontId="6" fillId="0" borderId="9" xfId="3" applyFont="1" applyFill="1" applyBorder="1" applyAlignment="1">
      <alignment horizontal="centerContinuous" wrapText="1"/>
    </xf>
    <xf numFmtId="0" fontId="6" fillId="0" borderId="4" xfId="3" applyFont="1" applyFill="1" applyBorder="1" applyAlignment="1">
      <alignment horizontal="centerContinuous" wrapText="1"/>
    </xf>
    <xf numFmtId="0" fontId="5" fillId="0" borderId="9" xfId="3" applyFont="1" applyFill="1" applyBorder="1" applyAlignment="1">
      <alignment horizontal="center" wrapText="1"/>
    </xf>
    <xf numFmtId="3" fontId="31" fillId="10" borderId="35" xfId="6" applyNumberFormat="1" applyFont="1" applyFill="1" applyBorder="1" applyAlignment="1" applyProtection="1"/>
    <xf numFmtId="3" fontId="35" fillId="11" borderId="5" xfId="6" applyNumberFormat="1" applyFont="1" applyFill="1" applyBorder="1" applyAlignment="1" applyProtection="1"/>
    <xf numFmtId="3" fontId="31" fillId="10" borderId="37" xfId="6" applyNumberFormat="1" applyFont="1" applyFill="1" applyBorder="1" applyAlignment="1" applyProtection="1"/>
    <xf numFmtId="3" fontId="35" fillId="11" borderId="10" xfId="6" applyNumberFormat="1" applyFont="1" applyFill="1" applyBorder="1" applyAlignment="1" applyProtection="1"/>
    <xf numFmtId="49" fontId="2" fillId="3" borderId="0" xfId="5" applyNumberFormat="1" applyFont="1" applyFill="1" applyBorder="1" applyAlignment="1" applyProtection="1">
      <alignment horizontal="center"/>
      <protection locked="0"/>
    </xf>
    <xf numFmtId="49" fontId="2" fillId="3" borderId="0" xfId="5" applyNumberFormat="1" applyFont="1" applyFill="1" applyBorder="1" applyAlignment="1" applyProtection="1">
      <alignment horizontal="left"/>
      <protection locked="0"/>
    </xf>
    <xf numFmtId="1" fontId="2" fillId="3" borderId="0" xfId="5" applyNumberFormat="1" applyFont="1" applyFill="1" applyBorder="1" applyAlignment="1" applyProtection="1">
      <alignment horizontal="center"/>
      <protection locked="0"/>
    </xf>
    <xf numFmtId="49" fontId="2" fillId="3" borderId="0" xfId="7" applyNumberFormat="1" applyFont="1" applyFill="1" applyBorder="1" applyAlignment="1" applyProtection="1">
      <alignment horizontal="center"/>
      <protection locked="0"/>
    </xf>
    <xf numFmtId="49" fontId="2" fillId="3" borderId="0" xfId="7" applyNumberFormat="1" applyFont="1" applyFill="1" applyBorder="1" applyAlignment="1" applyProtection="1">
      <alignment horizontal="left"/>
      <protection locked="0"/>
    </xf>
    <xf numFmtId="1" fontId="2" fillId="7" borderId="0" xfId="10" applyNumberFormat="1" applyFont="1" applyFill="1" applyBorder="1" applyAlignment="1" applyProtection="1">
      <alignment horizontal="center"/>
      <protection locked="0"/>
    </xf>
    <xf numFmtId="0" fontId="32" fillId="0" borderId="30" xfId="0" applyFont="1" applyFill="1" applyBorder="1" applyAlignment="1">
      <alignment horizontal="right"/>
    </xf>
    <xf numFmtId="170" fontId="32" fillId="0" borderId="30" xfId="0" applyNumberFormat="1" applyFont="1" applyFill="1" applyBorder="1"/>
    <xf numFmtId="170" fontId="32" fillId="0" borderId="1" xfId="0" applyNumberFormat="1" applyFont="1" applyFill="1" applyBorder="1"/>
    <xf numFmtId="170" fontId="32" fillId="0" borderId="7" xfId="0" applyNumberFormat="1" applyFont="1" applyFill="1" applyBorder="1"/>
    <xf numFmtId="170" fontId="5" fillId="0" borderId="30" xfId="0" applyNumberFormat="1" applyFont="1" applyFill="1" applyBorder="1"/>
    <xf numFmtId="170" fontId="32" fillId="0" borderId="39" xfId="0" applyNumberFormat="1" applyFont="1" applyFill="1" applyBorder="1"/>
    <xf numFmtId="1" fontId="0" fillId="0" borderId="0" xfId="0" applyNumberFormat="1"/>
    <xf numFmtId="1" fontId="2" fillId="5" borderId="22" xfId="0" applyNumberFormat="1" applyFont="1" applyFill="1" applyBorder="1" applyAlignment="1">
      <alignment horizontal="center"/>
    </xf>
    <xf numFmtId="1" fontId="2" fillId="5" borderId="6" xfId="0" applyNumberFormat="1" applyFont="1" applyFill="1" applyBorder="1" applyAlignment="1">
      <alignment horizontal="center"/>
    </xf>
    <xf numFmtId="1" fontId="0" fillId="3" borderId="22" xfId="0" applyNumberFormat="1" applyFill="1" applyBorder="1" applyAlignment="1">
      <alignment horizontal="center"/>
    </xf>
    <xf numFmtId="1" fontId="0" fillId="3" borderId="6" xfId="0" applyNumberFormat="1" applyFill="1" applyBorder="1" applyAlignment="1">
      <alignment horizontal="center"/>
    </xf>
    <xf numFmtId="1" fontId="0" fillId="8" borderId="22" xfId="0" applyNumberFormat="1" applyFill="1" applyBorder="1" applyAlignment="1">
      <alignment horizontal="center"/>
    </xf>
    <xf numFmtId="1" fontId="0" fillId="8" borderId="21" xfId="0" applyNumberFormat="1" applyFill="1" applyBorder="1" applyAlignment="1">
      <alignment horizontal="center"/>
    </xf>
    <xf numFmtId="1" fontId="0" fillId="0" borderId="0" xfId="0" applyNumberFormat="1" applyBorder="1"/>
    <xf numFmtId="170" fontId="32" fillId="13" borderId="1" xfId="0" applyNumberFormat="1" applyFont="1" applyFill="1" applyBorder="1"/>
    <xf numFmtId="170" fontId="32" fillId="13" borderId="30" xfId="0" applyNumberFormat="1" applyFont="1" applyFill="1" applyBorder="1"/>
    <xf numFmtId="49" fontId="2" fillId="14" borderId="0" xfId="5" applyNumberFormat="1" applyFont="1" applyFill="1" applyBorder="1" applyAlignment="1" applyProtection="1">
      <alignment horizontal="center"/>
      <protection locked="0"/>
    </xf>
    <xf numFmtId="49" fontId="2" fillId="14" borderId="0" xfId="5" applyNumberFormat="1" applyFont="1" applyFill="1" applyBorder="1" applyAlignment="1" applyProtection="1">
      <alignment horizontal="left"/>
      <protection locked="0"/>
    </xf>
    <xf numFmtId="1" fontId="2" fillId="14" borderId="0" xfId="9" applyNumberFormat="1" applyFont="1" applyFill="1" applyBorder="1" applyAlignment="1" applyProtection="1">
      <alignment horizontal="center"/>
      <protection locked="0"/>
    </xf>
    <xf numFmtId="0" fontId="36" fillId="9" borderId="32" xfId="8" applyNumberFormat="1" applyFont="1" applyFill="1" applyBorder="1" applyAlignment="1" applyProtection="1">
      <alignment horizontal="left"/>
      <protection locked="0"/>
    </xf>
    <xf numFmtId="165" fontId="5" fillId="0" borderId="0" xfId="15" applyNumberFormat="1" applyFont="1" applyFill="1" applyBorder="1" applyAlignment="1" applyProtection="1">
      <alignment horizontal="left" vertical="top"/>
      <protection locked="0"/>
    </xf>
    <xf numFmtId="164" fontId="5" fillId="0" borderId="0" xfId="12" applyFont="1" applyBorder="1" applyAlignment="1" applyProtection="1">
      <alignment horizontal="left" vertical="top"/>
      <protection locked="0"/>
    </xf>
    <xf numFmtId="49" fontId="5" fillId="15" borderId="5" xfId="12" applyNumberFormat="1" applyFont="1" applyFill="1" applyBorder="1" applyAlignment="1" applyProtection="1">
      <alignment horizontal="left" vertical="top"/>
      <protection locked="0"/>
    </xf>
    <xf numFmtId="49" fontId="5" fillId="15" borderId="0" xfId="12" applyNumberFormat="1" applyFont="1" applyFill="1" applyBorder="1" applyAlignment="1" applyProtection="1">
      <alignment horizontal="left" vertical="top"/>
      <protection locked="0"/>
    </xf>
    <xf numFmtId="0" fontId="34" fillId="9" borderId="32" xfId="17" applyNumberFormat="1" applyFont="1" applyFill="1" applyBorder="1" applyAlignment="1" applyProtection="1">
      <alignment horizontal="left" wrapText="1"/>
      <protection locked="0"/>
    </xf>
    <xf numFmtId="0" fontId="15" fillId="0" borderId="3" xfId="4" applyFont="1" applyFill="1" applyBorder="1" applyAlignment="1">
      <alignment horizontal="centerContinuous"/>
    </xf>
    <xf numFmtId="0" fontId="2" fillId="0" borderId="0" xfId="2" applyFont="1" applyAlignment="1">
      <alignment horizontal="centerContinuous"/>
    </xf>
    <xf numFmtId="0" fontId="6" fillId="0" borderId="42" xfId="3" applyFont="1" applyBorder="1" applyAlignment="1">
      <alignment horizontal="centerContinuous"/>
    </xf>
    <xf numFmtId="0" fontId="6" fillId="0" borderId="42" xfId="3" applyFont="1" applyFill="1" applyBorder="1" applyAlignment="1">
      <alignment horizontal="centerContinuous"/>
    </xf>
    <xf numFmtId="0" fontId="2" fillId="0" borderId="41" xfId="3" applyFont="1" applyFill="1" applyBorder="1" applyAlignment="1"/>
    <xf numFmtId="49" fontId="38" fillId="3" borderId="0" xfId="5" applyNumberFormat="1" applyFont="1" applyFill="1" applyBorder="1" applyAlignment="1" applyProtection="1">
      <alignment horizontal="left"/>
      <protection locked="0"/>
    </xf>
    <xf numFmtId="49" fontId="38" fillId="3" borderId="0" xfId="7" applyNumberFormat="1" applyFont="1" applyFill="1" applyBorder="1" applyAlignment="1" applyProtection="1">
      <alignment horizontal="left"/>
      <protection locked="0"/>
    </xf>
    <xf numFmtId="164" fontId="2" fillId="3" borderId="0" xfId="5" applyFont="1" applyFill="1" applyBorder="1" applyAlignment="1" applyProtection="1">
      <protection locked="0"/>
    </xf>
    <xf numFmtId="164" fontId="38" fillId="3" borderId="0" xfId="5" applyFont="1" applyFill="1" applyBorder="1" applyAlignment="1" applyProtection="1">
      <protection locked="0"/>
    </xf>
    <xf numFmtId="49" fontId="39" fillId="3" borderId="0" xfId="5" applyNumberFormat="1" applyFont="1" applyFill="1" applyBorder="1" applyAlignment="1" applyProtection="1">
      <alignment horizontal="left"/>
      <protection locked="0"/>
    </xf>
    <xf numFmtId="1" fontId="27" fillId="3" borderId="0" xfId="5" applyNumberFormat="1" applyFont="1" applyFill="1" applyBorder="1" applyAlignment="1" applyProtection="1">
      <alignment horizontal="center"/>
      <protection locked="0"/>
    </xf>
    <xf numFmtId="49" fontId="2" fillId="5" borderId="0" xfId="5" applyNumberFormat="1" applyFont="1" applyFill="1" applyBorder="1" applyAlignment="1" applyProtection="1">
      <alignment horizontal="center"/>
      <protection locked="0"/>
    </xf>
    <xf numFmtId="49" fontId="2" fillId="5" borderId="0" xfId="5" applyNumberFormat="1" applyFont="1" applyFill="1" applyBorder="1" applyAlignment="1" applyProtection="1">
      <alignment horizontal="left"/>
      <protection locked="0"/>
    </xf>
    <xf numFmtId="49" fontId="38" fillId="5" borderId="0" xfId="5" applyNumberFormat="1" applyFont="1" applyFill="1" applyBorder="1" applyAlignment="1" applyProtection="1">
      <alignment horizontal="left"/>
      <protection locked="0"/>
    </xf>
    <xf numFmtId="1" fontId="2" fillId="5" borderId="0" xfId="9" applyNumberFormat="1" applyFont="1" applyFill="1" applyBorder="1" applyAlignment="1" applyProtection="1">
      <alignment horizontal="center"/>
      <protection locked="0"/>
    </xf>
    <xf numFmtId="3" fontId="2" fillId="12" borderId="10" xfId="6" applyNumberFormat="1" applyFont="1" applyFill="1" applyBorder="1" applyAlignment="1" applyProtection="1">
      <alignment horizontal="right"/>
      <protection locked="0"/>
    </xf>
    <xf numFmtId="3" fontId="5" fillId="0" borderId="10" xfId="6" applyNumberFormat="1" applyFont="1" applyFill="1" applyBorder="1" applyAlignment="1" applyProtection="1">
      <alignment horizontal="right"/>
      <protection locked="0"/>
    </xf>
    <xf numFmtId="3" fontId="5" fillId="0" borderId="5" xfId="6" applyNumberFormat="1" applyFont="1" applyFill="1" applyBorder="1" applyAlignment="1" applyProtection="1">
      <alignment horizontal="right"/>
      <protection locked="0"/>
    </xf>
    <xf numFmtId="3" fontId="2" fillId="12" borderId="36" xfId="13" applyNumberFormat="1" applyFont="1" applyFill="1" applyBorder="1" applyAlignment="1" applyProtection="1">
      <alignment horizontal="right"/>
      <protection locked="0"/>
    </xf>
    <xf numFmtId="3" fontId="2" fillId="12" borderId="36" xfId="6" applyNumberFormat="1" applyFont="1" applyFill="1" applyBorder="1" applyAlignment="1" applyProtection="1">
      <alignment horizontal="right"/>
      <protection locked="0"/>
    </xf>
    <xf numFmtId="3" fontId="2" fillId="12" borderId="5" xfId="6" applyNumberFormat="1" applyFont="1" applyFill="1" applyBorder="1" applyAlignment="1" applyProtection="1">
      <alignment horizontal="right"/>
      <protection locked="0"/>
    </xf>
    <xf numFmtId="3" fontId="5" fillId="0" borderId="38" xfId="6" applyNumberFormat="1" applyFont="1" applyFill="1" applyBorder="1" applyAlignment="1" applyProtection="1">
      <alignment horizontal="right"/>
      <protection locked="0"/>
    </xf>
    <xf numFmtId="0" fontId="2" fillId="5" borderId="0" xfId="5" applyNumberFormat="1" applyFont="1" applyFill="1" applyBorder="1" applyAlignment="1" applyProtection="1">
      <alignment horizontal="center"/>
      <protection locked="0"/>
    </xf>
    <xf numFmtId="3" fontId="2" fillId="12" borderId="10" xfId="13" applyNumberFormat="1" applyFont="1" applyFill="1" applyBorder="1" applyAlignment="1" applyProtection="1">
      <alignment horizontal="right"/>
      <protection locked="0"/>
    </xf>
    <xf numFmtId="3" fontId="5" fillId="0" borderId="10" xfId="13" applyNumberFormat="1" applyFont="1" applyFill="1" applyBorder="1" applyAlignment="1" applyProtection="1">
      <alignment horizontal="right"/>
      <protection locked="0"/>
    </xf>
    <xf numFmtId="3" fontId="5" fillId="0" borderId="5" xfId="13" applyNumberFormat="1" applyFont="1" applyFill="1" applyBorder="1" applyAlignment="1" applyProtection="1">
      <alignment horizontal="right"/>
      <protection locked="0"/>
    </xf>
    <xf numFmtId="3" fontId="2" fillId="12" borderId="5" xfId="13" applyNumberFormat="1" applyFont="1" applyFill="1" applyBorder="1" applyAlignment="1" applyProtection="1">
      <alignment horizontal="right"/>
      <protection locked="0"/>
    </xf>
    <xf numFmtId="3" fontId="5" fillId="0" borderId="38" xfId="13" applyNumberFormat="1" applyFont="1" applyFill="1" applyBorder="1" applyAlignment="1" applyProtection="1">
      <alignment horizontal="right"/>
      <protection locked="0"/>
    </xf>
    <xf numFmtId="3" fontId="5" fillId="0" borderId="10" xfId="13" applyNumberFormat="1" applyFont="1" applyFill="1" applyBorder="1" applyAlignment="1" applyProtection="1">
      <alignment horizontal="right" vertical="center"/>
      <protection locked="0"/>
    </xf>
    <xf numFmtId="3" fontId="5" fillId="0" borderId="5" xfId="13" applyNumberFormat="1" applyFont="1" applyFill="1" applyBorder="1" applyAlignment="1" applyProtection="1">
      <alignment horizontal="right" vertical="center"/>
      <protection locked="0"/>
    </xf>
    <xf numFmtId="3" fontId="5" fillId="0" borderId="38" xfId="13" applyNumberFormat="1" applyFont="1" applyFill="1" applyBorder="1" applyAlignment="1" applyProtection="1">
      <alignment horizontal="right" vertical="center"/>
      <protection locked="0"/>
    </xf>
    <xf numFmtId="3" fontId="38" fillId="5" borderId="0" xfId="7" applyFont="1" applyFill="1" applyBorder="1" applyAlignment="1" applyProtection="1">
      <protection locked="0"/>
    </xf>
    <xf numFmtId="1" fontId="2" fillId="5" borderId="0" xfId="5" applyNumberFormat="1" applyFont="1" applyFill="1" applyBorder="1" applyAlignment="1" applyProtection="1">
      <alignment horizontal="center"/>
      <protection locked="0"/>
    </xf>
    <xf numFmtId="49" fontId="2" fillId="6" borderId="0" xfId="5" applyNumberFormat="1" applyFont="1" applyFill="1" applyBorder="1" applyAlignment="1" applyProtection="1">
      <alignment horizontal="left"/>
      <protection locked="0"/>
    </xf>
    <xf numFmtId="49" fontId="2" fillId="16" borderId="0" xfId="5" applyNumberFormat="1" applyFont="1" applyFill="1" applyBorder="1" applyAlignment="1" applyProtection="1">
      <alignment horizontal="center"/>
      <protection locked="0"/>
    </xf>
    <xf numFmtId="49" fontId="2" fillId="16" borderId="0" xfId="5" applyNumberFormat="1" applyFont="1" applyFill="1" applyBorder="1" applyAlignment="1" applyProtection="1">
      <alignment horizontal="left"/>
      <protection locked="0"/>
    </xf>
    <xf numFmtId="49" fontId="38" fillId="16" borderId="0" xfId="5" applyNumberFormat="1" applyFont="1" applyFill="1" applyBorder="1" applyAlignment="1" applyProtection="1">
      <alignment horizontal="left"/>
      <protection locked="0"/>
    </xf>
    <xf numFmtId="1" fontId="2" fillId="16" borderId="0" xfId="5" applyNumberFormat="1" applyFont="1" applyFill="1" applyBorder="1" applyAlignment="1" applyProtection="1">
      <alignment horizontal="center"/>
      <protection locked="0"/>
    </xf>
    <xf numFmtId="3" fontId="2" fillId="12" borderId="10" xfId="13" applyNumberFormat="1" applyFont="1" applyFill="1" applyBorder="1" applyProtection="1">
      <protection locked="0"/>
    </xf>
    <xf numFmtId="3" fontId="5" fillId="0" borderId="10" xfId="13" applyNumberFormat="1" applyFont="1" applyFill="1" applyBorder="1" applyProtection="1">
      <protection locked="0"/>
    </xf>
    <xf numFmtId="3" fontId="5" fillId="0" borderId="5" xfId="13" applyNumberFormat="1" applyFont="1" applyFill="1" applyBorder="1" applyProtection="1">
      <protection locked="0"/>
    </xf>
    <xf numFmtId="3" fontId="2" fillId="12" borderId="36" xfId="13" applyNumberFormat="1" applyFont="1" applyFill="1" applyBorder="1" applyProtection="1">
      <protection locked="0"/>
    </xf>
    <xf numFmtId="3" fontId="2" fillId="12" borderId="5" xfId="13" applyNumberFormat="1" applyFont="1" applyFill="1" applyBorder="1" applyProtection="1">
      <protection locked="0"/>
    </xf>
    <xf numFmtId="3" fontId="5" fillId="0" borderId="38" xfId="13" applyNumberFormat="1" applyFont="1" applyFill="1" applyBorder="1" applyProtection="1">
      <protection locked="0"/>
    </xf>
    <xf numFmtId="49" fontId="2" fillId="5" borderId="5" xfId="18" applyNumberFormat="1" applyFont="1" applyFill="1" applyBorder="1" applyAlignment="1" applyProtection="1">
      <alignment horizontal="center"/>
      <protection locked="0"/>
    </xf>
    <xf numFmtId="49" fontId="2" fillId="5" borderId="0" xfId="18" applyNumberFormat="1" applyFont="1" applyFill="1" applyBorder="1" applyAlignment="1" applyProtection="1">
      <alignment horizontal="left"/>
      <protection locked="0"/>
    </xf>
    <xf numFmtId="49" fontId="38" fillId="5" borderId="0" xfId="18" applyNumberFormat="1" applyFont="1" applyFill="1" applyBorder="1" applyAlignment="1" applyProtection="1">
      <alignment horizontal="left"/>
      <protection locked="0"/>
    </xf>
    <xf numFmtId="1" fontId="2" fillId="5" borderId="0" xfId="18" applyNumberFormat="1" applyFont="1" applyFill="1" applyBorder="1" applyAlignment="1" applyProtection="1">
      <alignment horizontal="center"/>
      <protection locked="0"/>
    </xf>
    <xf numFmtId="1" fontId="2" fillId="5" borderId="0" xfId="19" applyNumberFormat="1" applyFont="1" applyFill="1" applyBorder="1" applyAlignment="1" applyProtection="1">
      <alignment horizontal="center"/>
      <protection locked="0"/>
    </xf>
    <xf numFmtId="49" fontId="2" fillId="17" borderId="0" xfId="20" applyNumberFormat="1" applyFont="1" applyFill="1" applyBorder="1" applyAlignment="1" applyProtection="1">
      <alignment horizontal="left"/>
      <protection locked="0"/>
    </xf>
    <xf numFmtId="49" fontId="38" fillId="17" borderId="0" xfId="20" applyNumberFormat="1" applyFont="1" applyFill="1" applyBorder="1" applyAlignment="1" applyProtection="1">
      <alignment horizontal="left"/>
      <protection locked="0"/>
    </xf>
    <xf numFmtId="1" fontId="2" fillId="5" borderId="0" xfId="7" applyNumberFormat="1" applyFont="1" applyFill="1" applyBorder="1" applyAlignment="1" applyProtection="1">
      <alignment horizontal="center"/>
      <protection locked="0"/>
    </xf>
    <xf numFmtId="49" fontId="2" fillId="5" borderId="0" xfId="20" applyNumberFormat="1" applyFont="1" applyFill="1" applyBorder="1" applyAlignment="1" applyProtection="1">
      <alignment horizontal="left"/>
      <protection locked="0"/>
    </xf>
    <xf numFmtId="49" fontId="38" fillId="5" borderId="0" xfId="20" applyNumberFormat="1" applyFont="1" applyFill="1" applyBorder="1" applyAlignment="1" applyProtection="1">
      <alignment horizontal="left"/>
      <protection locked="0"/>
    </xf>
    <xf numFmtId="49" fontId="5" fillId="6" borderId="0" xfId="18" applyNumberFormat="1" applyFont="1" applyFill="1" applyBorder="1" applyAlignment="1" applyProtection="1">
      <alignment horizontal="left"/>
      <protection locked="0"/>
    </xf>
    <xf numFmtId="49" fontId="39" fillId="6" borderId="0" xfId="20" applyNumberFormat="1" applyFont="1" applyFill="1" applyBorder="1" applyAlignment="1" applyProtection="1">
      <alignment horizontal="left"/>
      <protection locked="0"/>
    </xf>
    <xf numFmtId="1" fontId="2" fillId="5" borderId="0" xfId="20" applyNumberFormat="1" applyFont="1" applyFill="1" applyBorder="1" applyAlignment="1" applyProtection="1">
      <alignment horizontal="center"/>
      <protection locked="0"/>
    </xf>
    <xf numFmtId="49" fontId="5" fillId="6" borderId="0" xfId="20" applyNumberFormat="1" applyFont="1" applyFill="1" applyBorder="1" applyAlignment="1" applyProtection="1">
      <alignment horizontal="left"/>
      <protection locked="0"/>
    </xf>
    <xf numFmtId="1" fontId="5" fillId="6" borderId="0" xfId="18" applyNumberFormat="1" applyFont="1" applyFill="1" applyBorder="1" applyAlignment="1" applyProtection="1">
      <alignment horizontal="center"/>
      <protection locked="0"/>
    </xf>
    <xf numFmtId="49" fontId="39" fillId="17" borderId="0" xfId="20" applyNumberFormat="1" applyFont="1" applyFill="1" applyBorder="1" applyAlignment="1" applyProtection="1">
      <alignment horizontal="left"/>
      <protection locked="0"/>
    </xf>
    <xf numFmtId="1" fontId="27" fillId="5" borderId="0" xfId="5" applyNumberFormat="1" applyFont="1" applyFill="1" applyBorder="1" applyAlignment="1" applyProtection="1">
      <alignment horizontal="center"/>
      <protection locked="0"/>
    </xf>
    <xf numFmtId="49" fontId="2" fillId="16" borderId="5" xfId="20" applyNumberFormat="1" applyFont="1" applyFill="1" applyBorder="1" applyAlignment="1" applyProtection="1">
      <alignment horizontal="center"/>
      <protection locked="0"/>
    </xf>
    <xf numFmtId="49" fontId="2" fillId="16" borderId="0" xfId="20" applyNumberFormat="1" applyFont="1" applyFill="1" applyBorder="1" applyAlignment="1" applyProtection="1">
      <alignment horizontal="left"/>
      <protection locked="0"/>
    </xf>
    <xf numFmtId="49" fontId="38" fillId="16" borderId="0" xfId="20" applyNumberFormat="1" applyFont="1" applyFill="1" applyBorder="1" applyAlignment="1" applyProtection="1">
      <alignment horizontal="left"/>
      <protection locked="0"/>
    </xf>
    <xf numFmtId="49" fontId="2" fillId="16" borderId="0" xfId="20" applyNumberFormat="1" applyFont="1" applyFill="1" applyBorder="1" applyAlignment="1" applyProtection="1">
      <alignment horizontal="center"/>
      <protection locked="0"/>
    </xf>
    <xf numFmtId="49" fontId="2" fillId="18" borderId="5" xfId="20" applyNumberFormat="1" applyFont="1" applyFill="1" applyBorder="1" applyAlignment="1" applyProtection="1">
      <alignment horizontal="center"/>
      <protection locked="0"/>
    </xf>
    <xf numFmtId="49" fontId="2" fillId="18" borderId="0" xfId="20" applyNumberFormat="1" applyFont="1" applyFill="1" applyBorder="1" applyAlignment="1" applyProtection="1">
      <alignment horizontal="left"/>
      <protection locked="0"/>
    </xf>
    <xf numFmtId="49" fontId="38" fillId="18" borderId="0" xfId="20" applyNumberFormat="1" applyFont="1" applyFill="1" applyBorder="1" applyAlignment="1" applyProtection="1">
      <alignment horizontal="left"/>
      <protection locked="0"/>
    </xf>
    <xf numFmtId="49" fontId="2" fillId="18" borderId="0" xfId="20" applyNumberFormat="1" applyFont="1" applyFill="1" applyBorder="1" applyAlignment="1" applyProtection="1">
      <alignment horizontal="center"/>
      <protection locked="0"/>
    </xf>
    <xf numFmtId="1" fontId="2" fillId="18" borderId="0" xfId="5" applyNumberFormat="1" applyFont="1" applyFill="1" applyBorder="1" applyAlignment="1" applyProtection="1">
      <alignment horizontal="center"/>
      <protection locked="0"/>
    </xf>
    <xf numFmtId="0" fontId="2" fillId="16" borderId="0" xfId="5" applyNumberFormat="1" applyFont="1" applyFill="1" applyBorder="1" applyAlignment="1" applyProtection="1">
      <alignment horizontal="center"/>
      <protection locked="0"/>
    </xf>
    <xf numFmtId="49" fontId="2" fillId="16" borderId="0" xfId="9" applyNumberFormat="1" applyFont="1" applyFill="1" applyBorder="1" applyAlignment="1" applyProtection="1">
      <alignment horizontal="left"/>
      <protection locked="0"/>
    </xf>
    <xf numFmtId="49" fontId="38" fillId="16" borderId="0" xfId="9" applyNumberFormat="1" applyFont="1" applyFill="1" applyBorder="1" applyAlignment="1" applyProtection="1">
      <alignment horizontal="left"/>
      <protection locked="0"/>
    </xf>
    <xf numFmtId="1" fontId="5" fillId="16" borderId="0" xfId="5" applyNumberFormat="1" applyFont="1" applyFill="1" applyBorder="1" applyAlignment="1" applyProtection="1">
      <alignment horizontal="center"/>
      <protection locked="0"/>
    </xf>
    <xf numFmtId="3" fontId="2" fillId="16" borderId="0" xfId="7" applyFont="1" applyFill="1" applyBorder="1" applyAlignment="1" applyProtection="1">
      <protection locked="0"/>
    </xf>
    <xf numFmtId="3" fontId="38" fillId="16" borderId="0" xfId="7" applyFont="1" applyFill="1" applyBorder="1" applyAlignment="1" applyProtection="1">
      <protection locked="0"/>
    </xf>
    <xf numFmtId="49" fontId="2" fillId="16" borderId="0" xfId="7" applyNumberFormat="1" applyFont="1" applyFill="1" applyBorder="1" applyAlignment="1" applyProtection="1">
      <alignment horizontal="center"/>
      <protection locked="0"/>
    </xf>
    <xf numFmtId="1" fontId="2" fillId="19" borderId="0" xfId="10" applyNumberFormat="1" applyFont="1" applyFill="1" applyBorder="1" applyAlignment="1" applyProtection="1">
      <alignment horizontal="center"/>
      <protection locked="0"/>
    </xf>
    <xf numFmtId="49" fontId="2" fillId="16" borderId="0" xfId="7" applyNumberFormat="1" applyFont="1" applyFill="1" applyBorder="1" applyAlignment="1" applyProtection="1">
      <alignment horizontal="left"/>
      <protection locked="0"/>
    </xf>
    <xf numFmtId="49" fontId="38" fillId="16" borderId="0" xfId="7" applyNumberFormat="1" applyFont="1" applyFill="1" applyBorder="1" applyAlignment="1" applyProtection="1">
      <alignment horizontal="left"/>
      <protection locked="0"/>
    </xf>
    <xf numFmtId="49" fontId="2" fillId="19" borderId="0" xfId="10" applyNumberFormat="1" applyFont="1" applyFill="1" applyBorder="1" applyAlignment="1" applyProtection="1">
      <alignment horizontal="center"/>
      <protection locked="0"/>
    </xf>
    <xf numFmtId="0" fontId="2" fillId="16" borderId="0" xfId="7" applyNumberFormat="1" applyFont="1" applyFill="1" applyBorder="1" applyAlignment="1" applyProtection="1">
      <alignment horizontal="center"/>
      <protection locked="0"/>
    </xf>
    <xf numFmtId="49" fontId="2" fillId="6" borderId="0" xfId="20" applyNumberFormat="1" applyFont="1" applyFill="1" applyBorder="1" applyAlignment="1" applyProtection="1">
      <alignment horizontal="center"/>
      <protection locked="0"/>
    </xf>
    <xf numFmtId="0" fontId="5" fillId="18" borderId="0" xfId="5" applyNumberFormat="1" applyFont="1" applyFill="1" applyBorder="1" applyAlignment="1" applyProtection="1">
      <alignment horizontal="center"/>
      <protection locked="0"/>
    </xf>
    <xf numFmtId="49" fontId="2" fillId="18" borderId="0" xfId="9" applyNumberFormat="1" applyFont="1" applyFill="1" applyBorder="1" applyAlignment="1" applyProtection="1">
      <alignment horizontal="left"/>
      <protection locked="0"/>
    </xf>
    <xf numFmtId="164" fontId="2" fillId="18" borderId="0" xfId="20" applyFont="1" applyFill="1" applyBorder="1" applyProtection="1">
      <protection locked="0"/>
    </xf>
    <xf numFmtId="3" fontId="5" fillId="0" borderId="11" xfId="13" applyNumberFormat="1" applyFont="1" applyFill="1" applyBorder="1" applyAlignment="1" applyProtection="1">
      <alignment horizontal="right"/>
      <protection locked="0"/>
    </xf>
    <xf numFmtId="49" fontId="39" fillId="18" borderId="0" xfId="20" applyNumberFormat="1" applyFont="1" applyFill="1" applyBorder="1" applyAlignment="1" applyProtection="1">
      <alignment horizontal="left"/>
      <protection locked="0"/>
    </xf>
    <xf numFmtId="1" fontId="27" fillId="18" borderId="0" xfId="5" applyNumberFormat="1" applyFont="1" applyFill="1" applyBorder="1" applyAlignment="1" applyProtection="1">
      <alignment horizontal="center"/>
      <protection locked="0"/>
    </xf>
    <xf numFmtId="49" fontId="39" fillId="16" borderId="0" xfId="20" applyNumberFormat="1" applyFont="1" applyFill="1" applyBorder="1" applyAlignment="1" applyProtection="1">
      <alignment horizontal="left"/>
      <protection locked="0"/>
    </xf>
    <xf numFmtId="1" fontId="27" fillId="16" borderId="0" xfId="5" applyNumberFormat="1" applyFont="1" applyFill="1" applyBorder="1" applyAlignment="1" applyProtection="1">
      <alignment horizontal="center"/>
      <protection locked="0"/>
    </xf>
    <xf numFmtId="49" fontId="2" fillId="20" borderId="5" xfId="20" applyNumberFormat="1" applyFont="1" applyFill="1" applyBorder="1" applyAlignment="1" applyProtection="1">
      <alignment horizontal="center"/>
      <protection locked="0"/>
    </xf>
    <xf numFmtId="49" fontId="2" fillId="20" borderId="0" xfId="20" applyNumberFormat="1" applyFont="1" applyFill="1" applyBorder="1" applyAlignment="1" applyProtection="1">
      <alignment horizontal="left"/>
      <protection locked="0"/>
    </xf>
    <xf numFmtId="49" fontId="38" fillId="20" borderId="0" xfId="20" applyNumberFormat="1" applyFont="1" applyFill="1" applyBorder="1" applyAlignment="1" applyProtection="1">
      <alignment horizontal="left"/>
      <protection locked="0"/>
    </xf>
    <xf numFmtId="49" fontId="2" fillId="20" borderId="0" xfId="20" applyNumberFormat="1" applyFont="1" applyFill="1" applyBorder="1" applyAlignment="1" applyProtection="1">
      <alignment horizontal="center"/>
      <protection locked="0"/>
    </xf>
    <xf numFmtId="1" fontId="2" fillId="20" borderId="0" xfId="5" applyNumberFormat="1" applyFont="1" applyFill="1" applyBorder="1" applyAlignment="1" applyProtection="1">
      <alignment horizontal="center"/>
      <protection locked="0"/>
    </xf>
    <xf numFmtId="1" fontId="5" fillId="20" borderId="0" xfId="5" applyNumberFormat="1" applyFont="1" applyFill="1" applyBorder="1" applyAlignment="1" applyProtection="1">
      <alignment horizontal="center"/>
      <protection locked="0"/>
    </xf>
    <xf numFmtId="49" fontId="2" fillId="20" borderId="5" xfId="7" applyNumberFormat="1" applyFont="1" applyFill="1" applyBorder="1" applyAlignment="1" applyProtection="1">
      <alignment horizontal="center"/>
      <protection locked="0"/>
    </xf>
    <xf numFmtId="49" fontId="2" fillId="20" borderId="0" xfId="7" applyNumberFormat="1" applyFont="1" applyFill="1" applyBorder="1" applyAlignment="1" applyProtection="1">
      <alignment horizontal="left"/>
      <protection locked="0"/>
    </xf>
    <xf numFmtId="49" fontId="2" fillId="20" borderId="0" xfId="7" applyNumberFormat="1" applyFont="1" applyFill="1" applyBorder="1" applyAlignment="1" applyProtection="1">
      <alignment horizontal="center"/>
      <protection locked="0"/>
    </xf>
    <xf numFmtId="1" fontId="2" fillId="21" borderId="0" xfId="10" applyNumberFormat="1" applyFont="1" applyFill="1" applyBorder="1" applyAlignment="1" applyProtection="1">
      <alignment horizontal="center"/>
      <protection locked="0"/>
    </xf>
    <xf numFmtId="3" fontId="2" fillId="20" borderId="0" xfId="7" applyFont="1" applyFill="1" applyBorder="1" applyAlignment="1" applyProtection="1">
      <protection locked="0"/>
    </xf>
    <xf numFmtId="49" fontId="2" fillId="8" borderId="0" xfId="5" applyNumberFormat="1" applyFont="1" applyFill="1" applyBorder="1" applyAlignment="1" applyProtection="1">
      <alignment horizontal="center"/>
      <protection locked="0"/>
    </xf>
    <xf numFmtId="49" fontId="2" fillId="8" borderId="0" xfId="5" applyNumberFormat="1" applyFont="1" applyFill="1" applyBorder="1" applyAlignment="1" applyProtection="1">
      <alignment horizontal="left"/>
      <protection locked="0"/>
    </xf>
    <xf numFmtId="49" fontId="38" fillId="8" borderId="0" xfId="5" applyNumberFormat="1" applyFont="1" applyFill="1" applyBorder="1" applyAlignment="1" applyProtection="1">
      <alignment horizontal="left"/>
      <protection locked="0"/>
    </xf>
    <xf numFmtId="1" fontId="2" fillId="8" borderId="0" xfId="5" applyNumberFormat="1" applyFont="1" applyFill="1" applyBorder="1" applyAlignment="1" applyProtection="1">
      <alignment horizontal="center"/>
      <protection locked="0"/>
    </xf>
    <xf numFmtId="3" fontId="42" fillId="0" borderId="10" xfId="13" applyNumberFormat="1" applyFont="1" applyFill="1" applyBorder="1" applyAlignment="1" applyProtection="1">
      <alignment horizontal="right"/>
      <protection locked="0"/>
    </xf>
    <xf numFmtId="164" fontId="0" fillId="0" borderId="0" xfId="0" applyNumberFormat="1" applyProtection="1">
      <protection locked="0"/>
    </xf>
    <xf numFmtId="3" fontId="2" fillId="12" borderId="10" xfId="14" applyNumberFormat="1" applyFont="1" applyFill="1" applyBorder="1" applyAlignment="1" applyProtection="1">
      <alignment horizontal="right"/>
      <protection locked="0"/>
    </xf>
    <xf numFmtId="3" fontId="2" fillId="12" borderId="36" xfId="14" applyNumberFormat="1" applyFont="1" applyFill="1" applyBorder="1" applyAlignment="1" applyProtection="1">
      <alignment horizontal="right"/>
      <protection locked="0"/>
    </xf>
    <xf numFmtId="3" fontId="5" fillId="0" borderId="10" xfId="14" applyNumberFormat="1" applyFont="1" applyFill="1" applyBorder="1" applyAlignment="1" applyProtection="1">
      <alignment horizontal="right"/>
      <protection locked="0"/>
    </xf>
    <xf numFmtId="3" fontId="5" fillId="0" borderId="5" xfId="14" applyNumberFormat="1" applyFont="1" applyFill="1" applyBorder="1" applyAlignment="1" applyProtection="1">
      <alignment horizontal="right"/>
      <protection locked="0"/>
    </xf>
    <xf numFmtId="3" fontId="2" fillId="12" borderId="5" xfId="14" applyNumberFormat="1" applyFont="1" applyFill="1" applyBorder="1" applyAlignment="1" applyProtection="1">
      <alignment horizontal="right"/>
      <protection locked="0"/>
    </xf>
    <xf numFmtId="3" fontId="5" fillId="0" borderId="38" xfId="14" applyNumberFormat="1" applyFont="1" applyFill="1" applyBorder="1" applyAlignment="1" applyProtection="1">
      <alignment horizontal="right"/>
      <protection locked="0"/>
    </xf>
    <xf numFmtId="49" fontId="2" fillId="8" borderId="0" xfId="19" applyNumberFormat="1" applyFont="1" applyFill="1" applyBorder="1" applyAlignment="1" applyProtection="1">
      <alignment horizontal="center"/>
      <protection locked="0"/>
    </xf>
    <xf numFmtId="49" fontId="2" fillId="8" borderId="0" xfId="19" applyNumberFormat="1" applyFont="1" applyFill="1" applyBorder="1" applyAlignment="1" applyProtection="1">
      <alignment horizontal="left"/>
      <protection locked="0"/>
    </xf>
    <xf numFmtId="49" fontId="38" fillId="8" borderId="0" xfId="19" applyNumberFormat="1" applyFont="1" applyFill="1" applyBorder="1" applyAlignment="1" applyProtection="1">
      <alignment horizontal="left"/>
      <protection locked="0"/>
    </xf>
    <xf numFmtId="1" fontId="2" fillId="8" borderId="0" xfId="19" applyNumberFormat="1" applyFont="1" applyFill="1" applyBorder="1" applyAlignment="1" applyProtection="1">
      <alignment horizontal="center"/>
      <protection locked="0"/>
    </xf>
    <xf numFmtId="49" fontId="2" fillId="8" borderId="0" xfId="15" applyNumberFormat="1" applyFont="1" applyFill="1" applyBorder="1" applyAlignment="1" applyProtection="1">
      <alignment horizontal="left"/>
      <protection locked="0"/>
    </xf>
    <xf numFmtId="0" fontId="2" fillId="8" borderId="0" xfId="21" applyNumberFormat="1" applyFont="1" applyFill="1" applyBorder="1" applyAlignment="1" applyProtection="1">
      <protection locked="0"/>
    </xf>
    <xf numFmtId="0" fontId="38" fillId="8" borderId="0" xfId="21" applyNumberFormat="1" applyFont="1" applyFill="1" applyBorder="1" applyAlignment="1" applyProtection="1">
      <protection locked="0"/>
    </xf>
    <xf numFmtId="49" fontId="39" fillId="8" borderId="0" xfId="15" applyNumberFormat="1" applyFont="1" applyFill="1" applyBorder="1" applyAlignment="1" applyProtection="1">
      <alignment horizontal="left"/>
      <protection locked="0"/>
    </xf>
    <xf numFmtId="1" fontId="27" fillId="8" borderId="0" xfId="5" applyNumberFormat="1" applyFont="1" applyFill="1" applyBorder="1" applyAlignment="1" applyProtection="1">
      <alignment horizontal="center"/>
      <protection locked="0"/>
    </xf>
    <xf numFmtId="49" fontId="2" fillId="8" borderId="0" xfId="20" applyNumberFormat="1" applyFont="1" applyFill="1" applyBorder="1" applyAlignment="1" applyProtection="1">
      <alignment horizontal="center"/>
      <protection locked="0"/>
    </xf>
    <xf numFmtId="49" fontId="2" fillId="8" borderId="0" xfId="20" applyNumberFormat="1" applyFont="1" applyFill="1" applyBorder="1" applyAlignment="1" applyProtection="1">
      <alignment horizontal="left"/>
      <protection locked="0"/>
    </xf>
    <xf numFmtId="49" fontId="38" fillId="8" borderId="0" xfId="20" applyNumberFormat="1" applyFont="1" applyFill="1" applyBorder="1" applyAlignment="1" applyProtection="1">
      <alignment horizontal="left"/>
      <protection locked="0"/>
    </xf>
    <xf numFmtId="0" fontId="1" fillId="0" borderId="0" xfId="22" applyNumberFormat="1"/>
    <xf numFmtId="3" fontId="2" fillId="6" borderId="10" xfId="13" applyNumberFormat="1" applyFont="1" applyFill="1" applyBorder="1" applyAlignment="1" applyProtection="1">
      <alignment horizontal="right"/>
      <protection locked="0"/>
    </xf>
    <xf numFmtId="0" fontId="1" fillId="0" borderId="0" xfId="23" applyNumberFormat="1"/>
    <xf numFmtId="3" fontId="2" fillId="6" borderId="5" xfId="13" applyNumberFormat="1" applyFont="1" applyFill="1" applyBorder="1" applyAlignment="1" applyProtection="1">
      <alignment horizontal="right"/>
      <protection locked="0"/>
    </xf>
    <xf numFmtId="3" fontId="2" fillId="12" borderId="10" xfId="24" applyNumberFormat="1" applyFont="1" applyFill="1" applyBorder="1" applyAlignment="1" applyProtection="1">
      <alignment horizontal="right"/>
      <protection locked="0"/>
    </xf>
    <xf numFmtId="0" fontId="1" fillId="0" borderId="0" xfId="22" applyNumberFormat="1" applyFill="1"/>
    <xf numFmtId="0" fontId="0" fillId="6" borderId="0" xfId="0" applyNumberFormat="1" applyFill="1"/>
    <xf numFmtId="1" fontId="5" fillId="8" borderId="0" xfId="5" applyNumberFormat="1" applyFont="1" applyFill="1" applyBorder="1" applyAlignment="1" applyProtection="1">
      <alignment horizontal="center"/>
      <protection locked="0"/>
    </xf>
    <xf numFmtId="49" fontId="39" fillId="8" borderId="0" xfId="20" applyNumberFormat="1" applyFont="1" applyFill="1" applyBorder="1" applyAlignment="1" applyProtection="1">
      <alignment horizontal="left"/>
      <protection locked="0"/>
    </xf>
    <xf numFmtId="49" fontId="2" fillId="22" borderId="5" xfId="7" applyNumberFormat="1" applyFont="1" applyFill="1" applyBorder="1" applyAlignment="1" applyProtection="1">
      <alignment horizontal="center"/>
      <protection locked="0"/>
    </xf>
    <xf numFmtId="49" fontId="2" fillId="22" borderId="0" xfId="20" applyNumberFormat="1" applyFont="1" applyFill="1" applyBorder="1" applyAlignment="1" applyProtection="1">
      <alignment horizontal="left"/>
      <protection locked="0"/>
    </xf>
    <xf numFmtId="49" fontId="38" fillId="22" borderId="0" xfId="20" applyNumberFormat="1" applyFont="1" applyFill="1" applyBorder="1" applyAlignment="1" applyProtection="1">
      <alignment horizontal="left"/>
      <protection locked="0"/>
    </xf>
    <xf numFmtId="49" fontId="2" fillId="22" borderId="0" xfId="7" applyNumberFormat="1" applyFont="1" applyFill="1" applyBorder="1" applyAlignment="1" applyProtection="1">
      <alignment horizontal="center"/>
      <protection locked="0"/>
    </xf>
    <xf numFmtId="1" fontId="2" fillId="23" borderId="0" xfId="10" applyNumberFormat="1" applyFont="1" applyFill="1" applyBorder="1" applyAlignment="1" applyProtection="1">
      <alignment horizontal="center"/>
      <protection locked="0"/>
    </xf>
    <xf numFmtId="49" fontId="2" fillId="22" borderId="5" xfId="20" applyNumberFormat="1" applyFont="1" applyFill="1" applyBorder="1" applyAlignment="1" applyProtection="1">
      <alignment horizontal="center"/>
      <protection locked="0"/>
    </xf>
    <xf numFmtId="49" fontId="2" fillId="22" borderId="0" xfId="20" applyNumberFormat="1" applyFont="1" applyFill="1" applyBorder="1" applyAlignment="1" applyProtection="1">
      <alignment horizontal="center"/>
      <protection locked="0"/>
    </xf>
    <xf numFmtId="49" fontId="5" fillId="22" borderId="0" xfId="20" applyNumberFormat="1" applyFont="1" applyFill="1" applyBorder="1" applyAlignment="1" applyProtection="1">
      <alignment horizontal="center"/>
      <protection locked="0"/>
    </xf>
    <xf numFmtId="1" fontId="2" fillId="22" borderId="0" xfId="5" applyNumberFormat="1" applyFont="1" applyFill="1" applyBorder="1" applyAlignment="1" applyProtection="1">
      <alignment horizontal="center"/>
      <protection locked="0"/>
    </xf>
    <xf numFmtId="49" fontId="2" fillId="3" borderId="0" xfId="20" applyNumberFormat="1" applyFont="1" applyFill="1" applyBorder="1" applyAlignment="1" applyProtection="1">
      <alignment horizontal="center"/>
      <protection locked="0"/>
    </xf>
    <xf numFmtId="49" fontId="2" fillId="3" borderId="0" xfId="20" applyNumberFormat="1" applyFont="1" applyFill="1" applyBorder="1" applyAlignment="1" applyProtection="1">
      <alignment horizontal="left"/>
      <protection locked="0"/>
    </xf>
    <xf numFmtId="49" fontId="38" fillId="3" borderId="0" xfId="20" applyNumberFormat="1" applyFont="1" applyFill="1" applyBorder="1" applyAlignment="1" applyProtection="1">
      <alignment horizontal="left"/>
      <protection locked="0"/>
    </xf>
    <xf numFmtId="49" fontId="39" fillId="3" borderId="0" xfId="20" applyNumberFormat="1" applyFont="1" applyFill="1" applyBorder="1" applyAlignment="1" applyProtection="1">
      <alignment horizontal="left"/>
      <protection locked="0"/>
    </xf>
    <xf numFmtId="49" fontId="2" fillId="8" borderId="5" xfId="20" applyNumberFormat="1" applyFont="1" applyFill="1" applyBorder="1" applyAlignment="1" applyProtection="1">
      <alignment horizontal="center"/>
      <protection locked="0"/>
    </xf>
    <xf numFmtId="49" fontId="2" fillId="8" borderId="5" xfId="7" applyNumberFormat="1" applyFont="1" applyFill="1" applyBorder="1" applyAlignment="1" applyProtection="1">
      <alignment horizontal="center"/>
      <protection locked="0"/>
    </xf>
    <xf numFmtId="164" fontId="2" fillId="8" borderId="0" xfId="20" applyFont="1" applyFill="1" applyBorder="1" applyProtection="1">
      <protection locked="0"/>
    </xf>
    <xf numFmtId="1" fontId="2" fillId="8" borderId="0" xfId="18" applyNumberFormat="1" applyFont="1" applyFill="1" applyBorder="1" applyAlignment="1" applyProtection="1">
      <alignment horizontal="center"/>
      <protection locked="0"/>
    </xf>
    <xf numFmtId="49" fontId="43" fillId="8" borderId="0" xfId="20" applyNumberFormat="1" applyFont="1" applyFill="1" applyBorder="1" applyAlignment="1" applyProtection="1">
      <alignment horizontal="left"/>
      <protection locked="0"/>
    </xf>
    <xf numFmtId="1" fontId="44" fillId="8" borderId="0" xfId="5" applyNumberFormat="1" applyFont="1" applyFill="1" applyBorder="1" applyAlignment="1" applyProtection="1">
      <alignment horizontal="center"/>
      <protection locked="0"/>
    </xf>
    <xf numFmtId="1" fontId="2" fillId="8" borderId="0" xfId="7" applyNumberFormat="1" applyFont="1" applyFill="1" applyBorder="1" applyAlignment="1" applyProtection="1">
      <alignment horizontal="center"/>
      <protection locked="0"/>
    </xf>
    <xf numFmtId="1" fontId="2" fillId="24" borderId="0" xfId="25" applyNumberFormat="1" applyFont="1" applyFill="1" applyBorder="1" applyAlignment="1" applyProtection="1">
      <alignment horizontal="center"/>
      <protection locked="0"/>
    </xf>
    <xf numFmtId="164" fontId="38" fillId="8" borderId="0" xfId="20" applyFont="1" applyFill="1" applyBorder="1" applyProtection="1">
      <protection locked="0"/>
    </xf>
    <xf numFmtId="1" fontId="2" fillId="8" borderId="0" xfId="20" applyNumberFormat="1" applyFont="1" applyFill="1" applyBorder="1" applyAlignment="1" applyProtection="1">
      <alignment horizontal="center"/>
      <protection locked="0"/>
    </xf>
    <xf numFmtId="164" fontId="5" fillId="8" borderId="0" xfId="20" applyFont="1" applyFill="1" applyBorder="1" applyAlignment="1" applyProtection="1">
      <alignment horizontal="center"/>
      <protection locked="0"/>
    </xf>
    <xf numFmtId="49" fontId="2" fillId="22" borderId="0" xfId="20" applyNumberFormat="1" applyFont="1" applyFill="1" applyBorder="1" applyAlignment="1" applyProtection="1">
      <alignment horizontal="left"/>
      <protection locked="0"/>
    </xf>
    <xf numFmtId="164" fontId="2" fillId="22" borderId="0" xfId="20" applyFont="1" applyFill="1" applyBorder="1" applyProtection="1">
      <protection locked="0"/>
    </xf>
    <xf numFmtId="49" fontId="2" fillId="22" borderId="0" xfId="20" applyNumberFormat="1" applyFont="1" applyFill="1" applyBorder="1" applyAlignment="1" applyProtection="1">
      <alignment horizontal="center"/>
      <protection locked="0"/>
    </xf>
    <xf numFmtId="3" fontId="2" fillId="12" borderId="36" xfId="13" applyNumberFormat="1" applyFont="1" applyFill="1" applyBorder="1" applyAlignment="1" applyProtection="1">
      <alignment horizontal="right"/>
      <protection locked="0"/>
    </xf>
    <xf numFmtId="3" fontId="2" fillId="12" borderId="10" xfId="13" applyNumberFormat="1" applyFont="1" applyFill="1" applyBorder="1" applyAlignment="1" applyProtection="1">
      <alignment horizontal="right"/>
      <protection locked="0"/>
    </xf>
    <xf numFmtId="3" fontId="5" fillId="0" borderId="10" xfId="13" applyNumberFormat="1" applyFont="1" applyFill="1" applyBorder="1" applyAlignment="1" applyProtection="1">
      <alignment horizontal="right"/>
      <protection locked="0"/>
    </xf>
    <xf numFmtId="3" fontId="5" fillId="0" borderId="5" xfId="13" applyNumberFormat="1" applyFont="1" applyFill="1" applyBorder="1" applyAlignment="1" applyProtection="1">
      <alignment horizontal="right"/>
      <protection locked="0"/>
    </xf>
    <xf numFmtId="3" fontId="2" fillId="12" borderId="5" xfId="13" applyNumberFormat="1" applyFont="1" applyFill="1" applyBorder="1" applyAlignment="1" applyProtection="1">
      <alignment horizontal="right"/>
      <protection locked="0"/>
    </xf>
    <xf numFmtId="3" fontId="5" fillId="0" borderId="38" xfId="13" applyNumberFormat="1" applyFont="1" applyFill="1" applyBorder="1" applyAlignment="1" applyProtection="1">
      <alignment horizontal="right"/>
      <protection locked="0"/>
    </xf>
    <xf numFmtId="49" fontId="38" fillId="22" borderId="0" xfId="20" applyNumberFormat="1" applyFont="1" applyFill="1" applyBorder="1" applyAlignment="1" applyProtection="1">
      <alignment horizontal="left"/>
      <protection locked="0"/>
    </xf>
    <xf numFmtId="49" fontId="5" fillId="22" borderId="0" xfId="20" applyNumberFormat="1" applyFont="1" applyFill="1" applyBorder="1" applyAlignment="1" applyProtection="1">
      <alignment horizontal="center"/>
      <protection locked="0"/>
    </xf>
    <xf numFmtId="1" fontId="2" fillId="22" borderId="0" xfId="18" applyNumberFormat="1" applyFont="1" applyFill="1" applyBorder="1" applyAlignment="1" applyProtection="1">
      <alignment horizontal="center"/>
      <protection locked="0"/>
    </xf>
    <xf numFmtId="1" fontId="2" fillId="22" borderId="0" xfId="19" applyNumberFormat="1" applyFont="1" applyFill="1" applyBorder="1" applyAlignment="1" applyProtection="1">
      <alignment horizontal="center"/>
      <protection locked="0"/>
    </xf>
    <xf numFmtId="1" fontId="2" fillId="22" borderId="0" xfId="20" applyNumberFormat="1" applyFont="1" applyFill="1" applyBorder="1" applyAlignment="1" applyProtection="1">
      <alignment horizontal="center"/>
      <protection locked="0"/>
    </xf>
    <xf numFmtId="164" fontId="43" fillId="22" borderId="0" xfId="20" applyFont="1" applyFill="1" applyBorder="1" applyProtection="1">
      <protection locked="0"/>
    </xf>
    <xf numFmtId="49" fontId="38" fillId="22" borderId="0" xfId="128" applyNumberFormat="1" applyFont="1" applyFill="1" applyBorder="1" applyAlignment="1" applyProtection="1">
      <alignment horizontal="left"/>
      <protection locked="0"/>
    </xf>
    <xf numFmtId="1" fontId="2" fillId="22" borderId="0" xfId="129" applyNumberFormat="1" applyFont="1" applyFill="1" applyBorder="1" applyAlignment="1" applyProtection="1">
      <alignment horizontal="center"/>
      <protection locked="0"/>
    </xf>
    <xf numFmtId="49" fontId="2" fillId="5" borderId="5" xfId="20" applyNumberFormat="1" applyFont="1" applyFill="1" applyBorder="1" applyAlignment="1" applyProtection="1">
      <alignment horizontal="center"/>
      <protection locked="0"/>
    </xf>
    <xf numFmtId="49" fontId="2" fillId="5" borderId="0" xfId="20" applyNumberFormat="1" applyFont="1" applyFill="1" applyBorder="1" applyAlignment="1" applyProtection="1">
      <alignment horizontal="left"/>
      <protection locked="0"/>
    </xf>
    <xf numFmtId="49" fontId="38" fillId="5" borderId="0" xfId="20" applyNumberFormat="1" applyFont="1" applyFill="1" applyBorder="1" applyAlignment="1" applyProtection="1">
      <alignment horizontal="left"/>
      <protection locked="0"/>
    </xf>
    <xf numFmtId="49" fontId="2" fillId="5" borderId="0" xfId="20" applyNumberFormat="1" applyFont="1" applyFill="1" applyBorder="1" applyAlignment="1" applyProtection="1">
      <alignment horizontal="center"/>
      <protection locked="0"/>
    </xf>
    <xf numFmtId="1" fontId="2" fillId="5" borderId="0" xfId="5" applyNumberFormat="1" applyFont="1" applyFill="1" applyBorder="1" applyAlignment="1" applyProtection="1">
      <alignment horizontal="center"/>
      <protection locked="0"/>
    </xf>
    <xf numFmtId="3" fontId="2" fillId="12" borderId="10" xfId="13" applyNumberFormat="1" applyFont="1" applyFill="1" applyBorder="1" applyProtection="1">
      <protection locked="0"/>
    </xf>
    <xf numFmtId="3" fontId="5" fillId="0" borderId="10" xfId="13" applyNumberFormat="1" applyFont="1" applyFill="1" applyBorder="1" applyProtection="1">
      <protection locked="0"/>
    </xf>
    <xf numFmtId="3" fontId="5" fillId="0" borderId="5" xfId="13" applyNumberFormat="1" applyFont="1" applyFill="1" applyBorder="1" applyProtection="1">
      <protection locked="0"/>
    </xf>
    <xf numFmtId="3" fontId="2" fillId="12" borderId="36" xfId="13" applyNumberFormat="1" applyFont="1" applyFill="1" applyBorder="1" applyProtection="1">
      <protection locked="0"/>
    </xf>
    <xf numFmtId="3" fontId="2" fillId="12" borderId="36" xfId="13" applyNumberFormat="1" applyFont="1" applyFill="1" applyBorder="1" applyAlignment="1" applyProtection="1">
      <alignment horizontal="right"/>
      <protection locked="0"/>
    </xf>
    <xf numFmtId="3" fontId="5" fillId="0" borderId="5" xfId="13" applyNumberFormat="1" applyFont="1" applyFill="1" applyBorder="1" applyAlignment="1" applyProtection="1">
      <alignment horizontal="right"/>
      <protection locked="0"/>
    </xf>
    <xf numFmtId="3" fontId="2" fillId="12" borderId="10" xfId="13" applyNumberFormat="1" applyFont="1" applyFill="1" applyBorder="1" applyAlignment="1" applyProtection="1">
      <alignment horizontal="right"/>
      <protection locked="0"/>
    </xf>
    <xf numFmtId="3" fontId="5" fillId="0" borderId="10" xfId="13" applyNumberFormat="1" applyFont="1" applyFill="1" applyBorder="1" applyAlignment="1" applyProtection="1">
      <alignment horizontal="right"/>
      <protection locked="0"/>
    </xf>
    <xf numFmtId="3" fontId="2" fillId="12" borderId="5" xfId="13" applyNumberFormat="1" applyFont="1" applyFill="1" applyBorder="1" applyAlignment="1" applyProtection="1">
      <alignment horizontal="right"/>
      <protection locked="0"/>
    </xf>
    <xf numFmtId="3" fontId="5" fillId="0" borderId="38" xfId="13" applyNumberFormat="1" applyFont="1" applyFill="1" applyBorder="1" applyAlignment="1" applyProtection="1">
      <alignment horizontal="right"/>
      <protection locked="0"/>
    </xf>
    <xf numFmtId="49" fontId="2" fillId="5" borderId="5" xfId="7" applyNumberFormat="1" applyFont="1" applyFill="1" applyBorder="1" applyAlignment="1" applyProtection="1">
      <alignment horizontal="center"/>
      <protection locked="0"/>
    </xf>
    <xf numFmtId="49" fontId="2" fillId="5" borderId="0" xfId="7" applyNumberFormat="1" applyFont="1" applyFill="1" applyBorder="1" applyAlignment="1" applyProtection="1">
      <alignment horizontal="left"/>
      <protection locked="0"/>
    </xf>
    <xf numFmtId="49" fontId="2" fillId="5" borderId="0" xfId="7" applyNumberFormat="1" applyFont="1" applyFill="1" applyBorder="1" applyAlignment="1" applyProtection="1">
      <alignment horizontal="center"/>
      <protection locked="0"/>
    </xf>
    <xf numFmtId="1" fontId="2" fillId="25" borderId="0" xfId="10" applyNumberFormat="1" applyFont="1" applyFill="1" applyBorder="1" applyAlignment="1" applyProtection="1">
      <alignment horizontal="center"/>
      <protection locked="0"/>
    </xf>
    <xf numFmtId="3" fontId="2" fillId="5" borderId="0" xfId="7" applyFont="1" applyFill="1" applyBorder="1" applyAlignment="1" applyProtection="1">
      <protection locked="0"/>
    </xf>
    <xf numFmtId="49" fontId="38" fillId="5" borderId="0" xfId="20" applyNumberFormat="1" applyFont="1" applyFill="1" applyBorder="1" applyAlignment="1" applyProtection="1">
      <alignment horizontal="left"/>
      <protection locked="0"/>
    </xf>
    <xf numFmtId="49" fontId="43" fillId="5" borderId="0" xfId="20" applyNumberFormat="1" applyFont="1" applyFill="1" applyBorder="1" applyAlignment="1" applyProtection="1">
      <alignment horizontal="left"/>
      <protection locked="0"/>
    </xf>
    <xf numFmtId="1" fontId="44" fillId="5" borderId="0" xfId="129" applyNumberFormat="1" applyFont="1" applyFill="1" applyBorder="1" applyAlignment="1" applyProtection="1">
      <alignment horizontal="center"/>
      <protection locked="0"/>
    </xf>
    <xf numFmtId="49" fontId="38" fillId="5" borderId="0" xfId="20" applyNumberFormat="1" applyFont="1" applyFill="1" applyBorder="1" applyAlignment="1" applyProtection="1">
      <alignment horizontal="left"/>
      <protection locked="0"/>
    </xf>
    <xf numFmtId="3" fontId="5" fillId="6" borderId="10" xfId="13" applyNumberFormat="1" applyFont="1" applyFill="1" applyBorder="1" applyAlignment="1" applyProtection="1">
      <alignment horizontal="right"/>
      <protection locked="0"/>
    </xf>
    <xf numFmtId="0" fontId="45" fillId="0" borderId="0" xfId="130"/>
    <xf numFmtId="49" fontId="2" fillId="26" borderId="0" xfId="20" applyNumberFormat="1" applyFont="1" applyFill="1" applyBorder="1" applyAlignment="1" applyProtection="1">
      <alignment horizontal="left"/>
      <protection locked="0"/>
    </xf>
    <xf numFmtId="49" fontId="38" fillId="26" borderId="0" xfId="20" applyNumberFormat="1" applyFont="1" applyFill="1" applyBorder="1" applyAlignment="1" applyProtection="1">
      <alignment horizontal="left"/>
      <protection locked="0"/>
    </xf>
    <xf numFmtId="1" fontId="2" fillId="26" borderId="0" xfId="5" applyNumberFormat="1" applyFont="1" applyFill="1" applyBorder="1" applyAlignment="1" applyProtection="1">
      <alignment horizontal="center"/>
      <protection locked="0"/>
    </xf>
    <xf numFmtId="3" fontId="2" fillId="26" borderId="0" xfId="7" applyFont="1" applyFill="1" applyBorder="1" applyAlignment="1" applyProtection="1">
      <protection locked="0"/>
    </xf>
    <xf numFmtId="3" fontId="38" fillId="26" borderId="0" xfId="7" applyFont="1" applyFill="1" applyBorder="1" applyAlignment="1" applyProtection="1">
      <protection locked="0"/>
    </xf>
    <xf numFmtId="49" fontId="2" fillId="26" borderId="0" xfId="7" applyNumberFormat="1" applyFont="1" applyFill="1" applyBorder="1" applyAlignment="1" applyProtection="1">
      <alignment horizontal="left"/>
      <protection locked="0"/>
    </xf>
    <xf numFmtId="49" fontId="38" fillId="26" borderId="0" xfId="7" applyNumberFormat="1" applyFont="1" applyFill="1" applyBorder="1" applyAlignment="1" applyProtection="1">
      <alignment horizontal="left"/>
      <protection locked="0"/>
    </xf>
    <xf numFmtId="49" fontId="2" fillId="27" borderId="0" xfId="20" applyNumberFormat="1" applyFont="1" applyFill="1" applyBorder="1" applyAlignment="1" applyProtection="1">
      <alignment horizontal="left"/>
      <protection locked="0"/>
    </xf>
    <xf numFmtId="49" fontId="38" fillId="27" borderId="0" xfId="20" applyNumberFormat="1" applyFont="1" applyFill="1" applyBorder="1" applyAlignment="1" applyProtection="1">
      <alignment horizontal="left"/>
      <protection locked="0"/>
    </xf>
    <xf numFmtId="1" fontId="2" fillId="26" borderId="0" xfId="18" applyNumberFormat="1" applyFont="1" applyFill="1" applyBorder="1" applyAlignment="1" applyProtection="1">
      <alignment horizontal="center"/>
      <protection locked="0"/>
    </xf>
    <xf numFmtId="49" fontId="2" fillId="26" borderId="0" xfId="20" applyNumberFormat="1" applyFont="1" applyFill="1" applyBorder="1" applyAlignment="1" applyProtection="1">
      <alignment horizontal="center"/>
      <protection locked="0"/>
    </xf>
    <xf numFmtId="3" fontId="35" fillId="11" borderId="5" xfId="6" applyNumberFormat="1" applyFont="1" applyFill="1" applyBorder="1" applyAlignment="1" applyProtection="1"/>
    <xf numFmtId="3" fontId="2" fillId="12" borderId="36" xfId="13" applyNumberFormat="1" applyFont="1" applyFill="1" applyBorder="1" applyAlignment="1" applyProtection="1">
      <alignment horizontal="right"/>
      <protection locked="0"/>
    </xf>
    <xf numFmtId="3" fontId="2" fillId="12" borderId="10" xfId="13" applyNumberFormat="1" applyFont="1" applyFill="1" applyBorder="1" applyAlignment="1" applyProtection="1">
      <alignment horizontal="right"/>
      <protection locked="0"/>
    </xf>
    <xf numFmtId="3" fontId="5" fillId="0" borderId="10" xfId="13" applyNumberFormat="1" applyFont="1" applyFill="1" applyBorder="1" applyAlignment="1" applyProtection="1">
      <alignment horizontal="right"/>
      <protection locked="0"/>
    </xf>
    <xf numFmtId="3" fontId="5" fillId="0" borderId="5" xfId="13" applyNumberFormat="1" applyFont="1" applyFill="1" applyBorder="1" applyAlignment="1" applyProtection="1">
      <alignment horizontal="right"/>
      <protection locked="0"/>
    </xf>
    <xf numFmtId="3" fontId="2" fillId="12" borderId="5" xfId="13" applyNumberFormat="1" applyFont="1" applyFill="1" applyBorder="1" applyAlignment="1" applyProtection="1">
      <alignment horizontal="right"/>
      <protection locked="0"/>
    </xf>
    <xf numFmtId="3" fontId="5" fillId="0" borderId="38" xfId="13" applyNumberFormat="1" applyFont="1" applyFill="1" applyBorder="1" applyAlignment="1" applyProtection="1">
      <alignment horizontal="right"/>
      <protection locked="0"/>
    </xf>
    <xf numFmtId="49" fontId="2" fillId="26" borderId="0" xfId="5" applyNumberFormat="1" applyFont="1" applyFill="1" applyBorder="1" applyAlignment="1" applyProtection="1">
      <alignment horizontal="center"/>
      <protection locked="0"/>
    </xf>
    <xf numFmtId="49" fontId="38" fillId="26" borderId="0" xfId="20" applyNumberFormat="1" applyFont="1" applyFill="1" applyBorder="1" applyAlignment="1" applyProtection="1">
      <alignment horizontal="left"/>
      <protection locked="0"/>
    </xf>
    <xf numFmtId="49" fontId="38" fillId="27" borderId="0" xfId="20" applyNumberFormat="1" applyFont="1" applyFill="1" applyBorder="1" applyAlignment="1" applyProtection="1">
      <alignment horizontal="left"/>
      <protection locked="0"/>
    </xf>
    <xf numFmtId="49" fontId="43" fillId="27" borderId="0" xfId="20" applyNumberFormat="1" applyFont="1" applyFill="1" applyBorder="1" applyAlignment="1" applyProtection="1">
      <alignment horizontal="left"/>
      <protection locked="0"/>
    </xf>
    <xf numFmtId="1" fontId="44" fillId="26" borderId="0" xfId="129" applyNumberFormat="1" applyFont="1" applyFill="1" applyBorder="1" applyAlignment="1" applyProtection="1">
      <alignment horizontal="center"/>
      <protection locked="0"/>
    </xf>
    <xf numFmtId="49" fontId="38" fillId="26" borderId="0" xfId="128" applyNumberFormat="1" applyFont="1" applyFill="1" applyBorder="1" applyAlignment="1" applyProtection="1">
      <alignment horizontal="left"/>
      <protection locked="0"/>
    </xf>
    <xf numFmtId="49" fontId="2" fillId="22" borderId="0" xfId="5" applyNumberFormat="1" applyFont="1" applyFill="1" applyBorder="1" applyAlignment="1" applyProtection="1">
      <alignment horizontal="left"/>
      <protection locked="0"/>
    </xf>
    <xf numFmtId="49" fontId="2" fillId="22" borderId="0" xfId="7" applyNumberFormat="1" applyFont="1" applyFill="1" applyBorder="1" applyAlignment="1" applyProtection="1">
      <alignment horizontal="center"/>
      <protection locked="0"/>
    </xf>
    <xf numFmtId="3" fontId="2" fillId="22" borderId="0" xfId="7" applyFont="1" applyFill="1" applyBorder="1" applyAlignment="1" applyProtection="1">
      <protection locked="0"/>
    </xf>
    <xf numFmtId="3" fontId="31" fillId="10" borderId="35" xfId="6" applyNumberFormat="1" applyFont="1" applyFill="1" applyBorder="1" applyAlignment="1" applyProtection="1"/>
    <xf numFmtId="3" fontId="2" fillId="12" borderId="36" xfId="13" applyNumberFormat="1" applyFont="1" applyFill="1" applyBorder="1" applyAlignment="1" applyProtection="1">
      <alignment horizontal="right"/>
      <protection locked="0"/>
    </xf>
    <xf numFmtId="3" fontId="31" fillId="10" borderId="37" xfId="6" applyNumberFormat="1" applyFont="1" applyFill="1" applyBorder="1" applyAlignment="1" applyProtection="1"/>
    <xf numFmtId="3" fontId="35" fillId="11" borderId="10" xfId="6" applyNumberFormat="1" applyFont="1" applyFill="1" applyBorder="1" applyAlignment="1" applyProtection="1"/>
    <xf numFmtId="3" fontId="2" fillId="12" borderId="10" xfId="13" applyNumberFormat="1" applyFont="1" applyFill="1" applyBorder="1" applyAlignment="1" applyProtection="1">
      <alignment horizontal="right"/>
      <protection locked="0"/>
    </xf>
    <xf numFmtId="3" fontId="5" fillId="0" borderId="10" xfId="13" applyNumberFormat="1" applyFont="1" applyFill="1" applyBorder="1" applyAlignment="1" applyProtection="1">
      <alignment horizontal="right"/>
      <protection locked="0"/>
    </xf>
    <xf numFmtId="3" fontId="5" fillId="0" borderId="5" xfId="13" applyNumberFormat="1" applyFont="1" applyFill="1" applyBorder="1" applyAlignment="1" applyProtection="1">
      <alignment horizontal="right"/>
      <protection locked="0"/>
    </xf>
    <xf numFmtId="3" fontId="2" fillId="12" borderId="5" xfId="13" applyNumberFormat="1" applyFont="1" applyFill="1" applyBorder="1" applyAlignment="1" applyProtection="1">
      <alignment horizontal="right"/>
      <protection locked="0"/>
    </xf>
    <xf numFmtId="3" fontId="5" fillId="0" borderId="38" xfId="13" applyNumberFormat="1" applyFont="1" applyFill="1" applyBorder="1" applyAlignment="1" applyProtection="1">
      <alignment horizontal="right"/>
      <protection locked="0"/>
    </xf>
    <xf numFmtId="49" fontId="2" fillId="22" borderId="0" xfId="5" applyNumberFormat="1" applyFont="1" applyFill="1" applyBorder="1" applyAlignment="1" applyProtection="1">
      <alignment horizontal="center"/>
      <protection locked="0"/>
    </xf>
    <xf numFmtId="49" fontId="43" fillId="22" borderId="0" xfId="5" applyNumberFormat="1" applyFont="1" applyFill="1" applyBorder="1" applyAlignment="1" applyProtection="1">
      <alignment horizontal="left"/>
      <protection locked="0"/>
    </xf>
    <xf numFmtId="49" fontId="38" fillId="22" borderId="0" xfId="129" applyNumberFormat="1" applyFont="1" applyFill="1" applyBorder="1" applyAlignment="1" applyProtection="1">
      <alignment horizontal="left"/>
      <protection locked="0"/>
    </xf>
    <xf numFmtId="49" fontId="38" fillId="22" borderId="0" xfId="5" applyNumberFormat="1" applyFont="1" applyFill="1" applyBorder="1" applyAlignment="1" applyProtection="1">
      <alignment horizontal="left"/>
      <protection locked="0"/>
    </xf>
    <xf numFmtId="3" fontId="38" fillId="22" borderId="0" xfId="7" applyFont="1" applyFill="1" applyBorder="1" applyAlignment="1" applyProtection="1">
      <protection locked="0"/>
    </xf>
    <xf numFmtId="1" fontId="44" fillId="22" borderId="0" xfId="129" applyNumberFormat="1" applyFont="1" applyFill="1" applyBorder="1" applyAlignment="1" applyProtection="1">
      <alignment horizontal="center"/>
      <protection locked="0"/>
    </xf>
    <xf numFmtId="1" fontId="2" fillId="22" borderId="0" xfId="129" applyNumberFormat="1" applyFont="1" applyFill="1" applyBorder="1" applyAlignment="1" applyProtection="1">
      <alignment horizontal="center"/>
      <protection locked="0"/>
    </xf>
    <xf numFmtId="1" fontId="2" fillId="22" borderId="0" xfId="5" applyNumberFormat="1" applyFont="1" applyFill="1" applyBorder="1" applyAlignment="1" applyProtection="1">
      <alignment horizontal="center"/>
      <protection locked="0"/>
    </xf>
    <xf numFmtId="0" fontId="0" fillId="6" borderId="10" xfId="0" applyNumberFormat="1" applyFill="1" applyBorder="1"/>
    <xf numFmtId="3" fontId="2" fillId="6" borderId="0" xfId="13" applyNumberFormat="1" applyFont="1" applyFill="1" applyBorder="1" applyAlignment="1" applyProtection="1">
      <alignment horizontal="right"/>
      <protection locked="0"/>
    </xf>
    <xf numFmtId="3" fontId="2" fillId="12" borderId="0" xfId="13" applyNumberFormat="1" applyFont="1" applyFill="1" applyBorder="1" applyAlignment="1" applyProtection="1">
      <alignment horizontal="right"/>
      <protection locked="0"/>
    </xf>
    <xf numFmtId="0" fontId="1" fillId="0" borderId="5" xfId="23" applyNumberFormat="1" applyBorder="1"/>
    <xf numFmtId="3" fontId="5" fillId="0" borderId="0" xfId="13" applyNumberFormat="1" applyFont="1" applyFill="1" applyBorder="1" applyAlignment="1" applyProtection="1">
      <alignment horizontal="right"/>
      <protection locked="0"/>
    </xf>
    <xf numFmtId="170" fontId="32" fillId="6" borderId="1" xfId="0" applyNumberFormat="1" applyFont="1" applyFill="1" applyBorder="1"/>
    <xf numFmtId="166" fontId="14" fillId="13" borderId="16" xfId="0" applyNumberFormat="1" applyFont="1" applyFill="1" applyBorder="1"/>
    <xf numFmtId="166" fontId="14" fillId="13" borderId="14" xfId="0" applyNumberFormat="1" applyFont="1" applyFill="1" applyBorder="1"/>
    <xf numFmtId="0" fontId="2" fillId="0" borderId="1" xfId="0" applyFont="1" applyFill="1" applyBorder="1"/>
    <xf numFmtId="167" fontId="2" fillId="0" borderId="0" xfId="1" applyNumberFormat="1" applyFont="1" applyFill="1" applyBorder="1" applyAlignment="1">
      <alignment horizontal="right"/>
    </xf>
    <xf numFmtId="0" fontId="2" fillId="0" borderId="0" xfId="0" applyFont="1" applyFill="1" applyBorder="1"/>
    <xf numFmtId="167" fontId="2" fillId="0" borderId="11" xfId="1" applyNumberFormat="1" applyFont="1" applyFill="1" applyBorder="1" applyAlignment="1">
      <alignment horizontal="right"/>
    </xf>
    <xf numFmtId="167" fontId="2" fillId="0" borderId="1" xfId="1" applyNumberFormat="1" applyFont="1" applyFill="1" applyBorder="1" applyAlignment="1">
      <alignment horizontal="right"/>
    </xf>
    <xf numFmtId="167" fontId="2" fillId="0" borderId="8" xfId="1" applyNumberFormat="1" applyFont="1" applyFill="1" applyBorder="1" applyAlignment="1">
      <alignment horizontal="right"/>
    </xf>
    <xf numFmtId="168" fontId="10" fillId="0" borderId="0" xfId="6" applyNumberFormat="1" applyFont="1" applyFill="1" applyBorder="1" applyAlignment="1">
      <alignment horizontal="right"/>
    </xf>
    <xf numFmtId="167" fontId="31" fillId="0" borderId="10" xfId="6" applyNumberFormat="1" applyFont="1" applyFill="1" applyBorder="1" applyAlignment="1">
      <alignment horizontal="right"/>
    </xf>
    <xf numFmtId="167" fontId="31" fillId="0" borderId="13" xfId="6" applyNumberFormat="1" applyFont="1" applyFill="1" applyBorder="1" applyAlignment="1">
      <alignment horizontal="right"/>
    </xf>
    <xf numFmtId="0" fontId="55" fillId="0" borderId="0" xfId="0" applyFont="1" applyFill="1"/>
    <xf numFmtId="0" fontId="14" fillId="0" borderId="0" xfId="0" applyFont="1" applyAlignment="1">
      <alignment wrapText="1"/>
    </xf>
    <xf numFmtId="49" fontId="2" fillId="0" borderId="0" xfId="7" applyNumberFormat="1" applyFont="1" applyFill="1" applyBorder="1" applyAlignment="1" applyProtection="1">
      <alignment horizontal="center"/>
      <protection locked="0"/>
    </xf>
    <xf numFmtId="49" fontId="2" fillId="0" borderId="0" xfId="7" applyNumberFormat="1" applyFont="1" applyFill="1" applyBorder="1" applyAlignment="1" applyProtection="1">
      <alignment horizontal="left"/>
      <protection locked="0"/>
    </xf>
    <xf numFmtId="49" fontId="38" fillId="0" borderId="0" xfId="7" applyNumberFormat="1" applyFont="1" applyFill="1" applyBorder="1" applyAlignment="1" applyProtection="1">
      <alignment horizontal="left"/>
      <protection locked="0"/>
    </xf>
    <xf numFmtId="1" fontId="2" fillId="0" borderId="0" xfId="10" applyNumberFormat="1" applyFont="1" applyFill="1" applyBorder="1" applyAlignment="1" applyProtection="1">
      <alignment horizontal="center"/>
      <protection locked="0"/>
    </xf>
    <xf numFmtId="3" fontId="31" fillId="0" borderId="35" xfId="6" applyNumberFormat="1" applyFont="1" applyFill="1" applyBorder="1" applyAlignment="1" applyProtection="1"/>
    <xf numFmtId="3" fontId="35" fillId="0" borderId="5" xfId="6" applyNumberFormat="1" applyFont="1" applyFill="1" applyBorder="1" applyAlignment="1" applyProtection="1"/>
    <xf numFmtId="3" fontId="2" fillId="0" borderId="10" xfId="13" applyNumberFormat="1" applyFont="1" applyFill="1" applyBorder="1" applyAlignment="1" applyProtection="1">
      <alignment horizontal="right"/>
      <protection locked="0"/>
    </xf>
    <xf numFmtId="3" fontId="2" fillId="0" borderId="36" xfId="13" applyNumberFormat="1" applyFont="1" applyFill="1" applyBorder="1" applyAlignment="1" applyProtection="1">
      <alignment horizontal="right"/>
      <protection locked="0"/>
    </xf>
    <xf numFmtId="3" fontId="31" fillId="0" borderId="37" xfId="6" applyNumberFormat="1" applyFont="1" applyFill="1" applyBorder="1" applyAlignment="1" applyProtection="1"/>
    <xf numFmtId="3" fontId="35" fillId="0" borderId="10" xfId="6" applyNumberFormat="1" applyFont="1" applyFill="1" applyBorder="1" applyAlignment="1" applyProtection="1"/>
    <xf numFmtId="3" fontId="2" fillId="0" borderId="5" xfId="13" applyNumberFormat="1" applyFont="1" applyFill="1" applyBorder="1" applyAlignment="1" applyProtection="1">
      <alignment horizontal="right"/>
      <protection locked="0"/>
    </xf>
    <xf numFmtId="167" fontId="2" fillId="0" borderId="21" xfId="0" applyNumberFormat="1" applyFont="1" applyFill="1" applyBorder="1"/>
    <xf numFmtId="167" fontId="2" fillId="0" borderId="1" xfId="0" applyNumberFormat="1" applyFont="1" applyFill="1" applyBorder="1"/>
    <xf numFmtId="167" fontId="2" fillId="0" borderId="22" xfId="0" applyNumberFormat="1" applyFont="1" applyBorder="1" applyAlignment="1">
      <alignment horizontal="center"/>
    </xf>
    <xf numFmtId="0" fontId="14" fillId="0" borderId="0" xfId="0" applyFont="1" applyBorder="1" applyAlignment="1" applyProtection="1">
      <alignment vertical="center" wrapText="1"/>
      <protection locked="0"/>
    </xf>
    <xf numFmtId="166" fontId="14" fillId="13" borderId="15" xfId="0" applyNumberFormat="1" applyFont="1" applyFill="1" applyBorder="1"/>
    <xf numFmtId="0" fontId="29" fillId="0" borderId="0" xfId="0" applyFont="1" applyFill="1"/>
    <xf numFmtId="0" fontId="55" fillId="6" borderId="0" xfId="0" applyFont="1" applyFill="1"/>
    <xf numFmtId="3" fontId="2" fillId="6" borderId="10" xfId="14" applyNumberFormat="1" applyFont="1" applyFill="1" applyBorder="1" applyAlignment="1" applyProtection="1">
      <alignment horizontal="right"/>
      <protection locked="0"/>
    </xf>
    <xf numFmtId="3" fontId="5" fillId="6" borderId="10" xfId="14" applyNumberFormat="1" applyFont="1" applyFill="1" applyBorder="1" applyAlignment="1" applyProtection="1">
      <alignment horizontal="right"/>
      <protection locked="0"/>
    </xf>
    <xf numFmtId="3" fontId="5" fillId="6" borderId="10" xfId="13" applyNumberFormat="1" applyFont="1" applyFill="1" applyBorder="1" applyProtection="1">
      <protection locked="0"/>
    </xf>
    <xf numFmtId="3" fontId="5" fillId="6" borderId="38" xfId="13" applyNumberFormat="1" applyFont="1" applyFill="1" applyBorder="1" applyProtection="1">
      <protection locked="0"/>
    </xf>
    <xf numFmtId="3" fontId="5" fillId="6" borderId="5" xfId="13" applyNumberFormat="1" applyFont="1" applyFill="1" applyBorder="1" applyAlignment="1" applyProtection="1">
      <alignment horizontal="right"/>
      <protection locked="0"/>
    </xf>
    <xf numFmtId="169" fontId="2" fillId="0" borderId="11" xfId="1" applyNumberFormat="1" applyFont="1" applyFill="1" applyBorder="1" applyAlignment="1">
      <alignment horizontal="right"/>
    </xf>
    <xf numFmtId="2" fontId="2" fillId="0" borderId="6" xfId="1" applyNumberFormat="1" applyFont="1" applyFill="1" applyBorder="1" applyAlignment="1">
      <alignment horizontal="right"/>
    </xf>
    <xf numFmtId="2" fontId="2" fillId="0" borderId="8" xfId="1" applyNumberFormat="1" applyFont="1" applyFill="1" applyBorder="1" applyAlignment="1">
      <alignment horizontal="right"/>
    </xf>
    <xf numFmtId="172" fontId="2" fillId="0" borderId="0" xfId="1" applyNumberFormat="1" applyFont="1" applyFill="1" applyBorder="1" applyAlignment="1">
      <alignment horizontal="right"/>
    </xf>
    <xf numFmtId="172" fontId="2" fillId="0" borderId="11" xfId="1" applyNumberFormat="1" applyFont="1" applyFill="1" applyBorder="1" applyAlignment="1">
      <alignment horizontal="right"/>
    </xf>
    <xf numFmtId="2" fontId="31" fillId="0" borderId="10" xfId="6" applyNumberFormat="1" applyFont="1" applyFill="1" applyBorder="1" applyAlignment="1">
      <alignment horizontal="right"/>
    </xf>
    <xf numFmtId="0" fontId="20" fillId="0" borderId="21" xfId="0" applyFont="1" applyFill="1" applyBorder="1" applyAlignment="1">
      <alignment vertical="top" wrapText="1"/>
    </xf>
    <xf numFmtId="0" fontId="14" fillId="0" borderId="21" xfId="0" applyFont="1" applyBorder="1" applyAlignment="1">
      <alignment vertical="top" wrapText="1"/>
    </xf>
    <xf numFmtId="0" fontId="22" fillId="0" borderId="2" xfId="0" applyFont="1" applyBorder="1" applyAlignment="1">
      <alignment horizontal="center"/>
    </xf>
    <xf numFmtId="0" fontId="22" fillId="0" borderId="4" xfId="0" applyFont="1" applyBorder="1" applyAlignment="1">
      <alignment horizontal="center"/>
    </xf>
    <xf numFmtId="0" fontId="22" fillId="0" borderId="3" xfId="0" applyFont="1" applyBorder="1" applyAlignment="1">
      <alignment horizontal="center"/>
    </xf>
    <xf numFmtId="37" fontId="15" fillId="0" borderId="0" xfId="0" applyNumberFormat="1" applyFont="1" applyFill="1" applyAlignment="1" applyProtection="1">
      <alignment horizontal="center"/>
    </xf>
    <xf numFmtId="37" fontId="21" fillId="0" borderId="0" xfId="0" applyNumberFormat="1" applyFont="1" applyAlignment="1" applyProtection="1">
      <alignment horizontal="center"/>
    </xf>
    <xf numFmtId="0" fontId="20" fillId="0" borderId="21" xfId="0" applyFont="1" applyFill="1" applyBorder="1" applyAlignment="1">
      <alignment vertical="center" wrapText="1"/>
    </xf>
    <xf numFmtId="0" fontId="14" fillId="0" borderId="21" xfId="0" applyFont="1" applyFill="1" applyBorder="1" applyAlignment="1">
      <alignment vertical="center" wrapText="1"/>
    </xf>
    <xf numFmtId="0" fontId="20" fillId="0" borderId="21" xfId="0" applyFont="1" applyFill="1" applyBorder="1" applyAlignment="1" applyProtection="1">
      <alignment vertical="top" wrapText="1"/>
      <protection locked="0"/>
    </xf>
    <xf numFmtId="0" fontId="0" fillId="0" borderId="21" xfId="0" applyBorder="1" applyAlignment="1">
      <alignment vertical="top" wrapText="1"/>
    </xf>
    <xf numFmtId="0" fontId="5" fillId="0" borderId="2"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center"/>
    </xf>
    <xf numFmtId="37" fontId="17" fillId="0" borderId="0" xfId="0" applyNumberFormat="1" applyFont="1" applyAlignment="1" applyProtection="1">
      <alignment horizontal="center"/>
    </xf>
    <xf numFmtId="0" fontId="20" fillId="0" borderId="21" xfId="0" applyFont="1" applyFill="1" applyBorder="1" applyAlignment="1" applyProtection="1">
      <alignment vertical="center" wrapText="1"/>
      <protection locked="0"/>
    </xf>
    <xf numFmtId="0" fontId="0" fillId="0" borderId="21" xfId="0" applyBorder="1" applyAlignment="1" applyProtection="1">
      <alignment vertical="center" wrapText="1"/>
      <protection locked="0"/>
    </xf>
    <xf numFmtId="0" fontId="22" fillId="0" borderId="3" xfId="0" applyFont="1" applyFill="1" applyBorder="1" applyAlignment="1">
      <alignment horizontal="center"/>
    </xf>
    <xf numFmtId="0" fontId="22" fillId="0" borderId="2" xfId="0" applyFont="1" applyFill="1" applyBorder="1" applyAlignment="1">
      <alignment horizontal="center"/>
    </xf>
    <xf numFmtId="0" fontId="20" fillId="0" borderId="0" xfId="0" applyFont="1" applyFill="1" applyBorder="1" applyAlignment="1">
      <alignment wrapText="1"/>
    </xf>
    <xf numFmtId="0" fontId="14" fillId="0" borderId="0" xfId="0" applyFont="1" applyFill="1" applyAlignment="1"/>
    <xf numFmtId="0" fontId="14" fillId="0" borderId="0" xfId="0" applyFont="1" applyAlignment="1">
      <alignment wrapText="1"/>
    </xf>
    <xf numFmtId="0" fontId="20" fillId="0" borderId="0" xfId="0" applyFont="1" applyFill="1" applyBorder="1" applyAlignment="1">
      <alignment vertical="top" wrapText="1"/>
    </xf>
    <xf numFmtId="0" fontId="14" fillId="0" borderId="0" xfId="0" applyFont="1" applyBorder="1" applyAlignment="1">
      <alignment vertical="top" wrapText="1"/>
    </xf>
    <xf numFmtId="0" fontId="28" fillId="0" borderId="0" xfId="0" applyFont="1" applyFill="1" applyBorder="1" applyAlignment="1">
      <alignment vertical="top" wrapText="1"/>
    </xf>
    <xf numFmtId="0" fontId="29" fillId="0" borderId="0" xfId="0" applyFont="1" applyBorder="1" applyAlignment="1">
      <alignment vertical="top" wrapText="1"/>
    </xf>
    <xf numFmtId="0" fontId="0" fillId="0" borderId="0" xfId="0" applyAlignment="1">
      <alignment wrapText="1"/>
    </xf>
    <xf numFmtId="0" fontId="0" fillId="0" borderId="0" xfId="0" applyBorder="1" applyAlignment="1">
      <alignment vertical="top" wrapText="1"/>
    </xf>
    <xf numFmtId="0" fontId="0" fillId="0" borderId="0" xfId="0" applyFill="1" applyAlignment="1"/>
    <xf numFmtId="0" fontId="4" fillId="0" borderId="0" xfId="0" applyFont="1" applyFill="1" applyBorder="1" applyAlignment="1">
      <alignment vertical="top" wrapText="1"/>
    </xf>
    <xf numFmtId="0" fontId="5" fillId="0" borderId="7" xfId="3" applyFont="1" applyFill="1" applyBorder="1" applyAlignment="1">
      <alignment horizontal="center" wrapText="1"/>
    </xf>
    <xf numFmtId="0" fontId="5" fillId="0" borderId="8" xfId="3" applyFont="1" applyFill="1" applyBorder="1" applyAlignment="1">
      <alignment horizontal="center" wrapText="1"/>
    </xf>
  </cellXfs>
  <cellStyles count="477">
    <cellStyle name="Comma" xfId="11" builtinId="3"/>
    <cellStyle name="Comma 2" xfId="15"/>
    <cellStyle name="Comma 2 2" xfId="127"/>
    <cellStyle name="Comma 2 3" xfId="104"/>
    <cellStyle name="Comma 3" xfId="6"/>
    <cellStyle name="Comma 3 2" xfId="8"/>
    <cellStyle name="Comma 4" xfId="33"/>
    <cellStyle name="Comma 5" xfId="13"/>
    <cellStyle name="Comma 5 2" xfId="14"/>
    <cellStyle name="Comma 5 2 2" xfId="139"/>
    <cellStyle name="Comma 5 2 2 2" xfId="239"/>
    <cellStyle name="Comma 5 2 2 2 2" xfId="452"/>
    <cellStyle name="Comma 5 2 2 2 3" xfId="347"/>
    <cellStyle name="Comma 5 2 2 3" xfId="282"/>
    <cellStyle name="Comma 5 2 2 3 2" xfId="390"/>
    <cellStyle name="Comma 5 2 2 4" xfId="206"/>
    <cellStyle name="Comma 5 2 2 4 2" xfId="423"/>
    <cellStyle name="Comma 5 2 2 5" xfId="317"/>
    <cellStyle name="Comma 5 2 3" xfId="172"/>
    <cellStyle name="Comma 5 2 3 2" xfId="247"/>
    <cellStyle name="Comma 5 2 3 2 2" xfId="460"/>
    <cellStyle name="Comma 5 2 3 2 3" xfId="355"/>
    <cellStyle name="Comma 5 2 3 3" xfId="290"/>
    <cellStyle name="Comma 5 2 3 3 2" xfId="398"/>
    <cellStyle name="Comma 5 2 3 4" xfId="212"/>
    <cellStyle name="Comma 5 2 3 4 2" xfId="429"/>
    <cellStyle name="Comma 5 2 3 5" xfId="323"/>
    <cellStyle name="Comma 5 2 4" xfId="158"/>
    <cellStyle name="Comma 5 2 4 2" xfId="270"/>
    <cellStyle name="Comma 5 2 4 2 2" xfId="378"/>
    <cellStyle name="Comma 5 2 4 3" xfId="227"/>
    <cellStyle name="Comma 5 2 4 3 2" xfId="441"/>
    <cellStyle name="Comma 5 2 4 4" xfId="335"/>
    <cellStyle name="Comma 5 2 5" xfId="253"/>
    <cellStyle name="Comma 5 2 5 2" xfId="361"/>
    <cellStyle name="Comma 5 2 6" xfId="193"/>
    <cellStyle name="Comma 5 2 6 2" xfId="410"/>
    <cellStyle name="Comma 5 2 7" xfId="466"/>
    <cellStyle name="Comma 5 2 8" xfId="304"/>
    <cellStyle name="Comma 5 3" xfId="24"/>
    <cellStyle name="Comma 5 3 2" xfId="238"/>
    <cellStyle name="Comma 5 3 2 2" xfId="451"/>
    <cellStyle name="Comma 5 3 2 3" xfId="346"/>
    <cellStyle name="Comma 5 3 3" xfId="281"/>
    <cellStyle name="Comma 5 3 3 2" xfId="389"/>
    <cellStyle name="Comma 5 3 4" xfId="205"/>
    <cellStyle name="Comma 5 3 4 2" xfId="422"/>
    <cellStyle name="Comma 5 3 5" xfId="316"/>
    <cellStyle name="Comma 5 4" xfId="171"/>
    <cellStyle name="Comma 5 4 2" xfId="246"/>
    <cellStyle name="Comma 5 4 2 2" xfId="459"/>
    <cellStyle name="Comma 5 4 2 3" xfId="354"/>
    <cellStyle name="Comma 5 4 3" xfId="289"/>
    <cellStyle name="Comma 5 4 3 2" xfId="397"/>
    <cellStyle name="Comma 5 4 4" xfId="211"/>
    <cellStyle name="Comma 5 4 4 2" xfId="428"/>
    <cellStyle name="Comma 5 4 5" xfId="322"/>
    <cellStyle name="Comma 5 5" xfId="157"/>
    <cellStyle name="Comma 5 5 2" xfId="269"/>
    <cellStyle name="Comma 5 5 2 2" xfId="377"/>
    <cellStyle name="Comma 5 5 3" xfId="226"/>
    <cellStyle name="Comma 5 5 3 2" xfId="440"/>
    <cellStyle name="Comma 5 5 4" xfId="334"/>
    <cellStyle name="Comma 5 6" xfId="252"/>
    <cellStyle name="Comma 5 6 2" xfId="360"/>
    <cellStyle name="Comma 5 7" xfId="192"/>
    <cellStyle name="Comma 5 7 2" xfId="409"/>
    <cellStyle name="Comma 5 8" xfId="465"/>
    <cellStyle name="Comma 5 9" xfId="303"/>
    <cellStyle name="Comma 6" xfId="106"/>
    <cellStyle name="Comma 6 2" xfId="161"/>
    <cellStyle name="Comma 6 2 2" xfId="230"/>
    <cellStyle name="Comma 6 2 2 2" xfId="444"/>
    <cellStyle name="Comma 6 2 3" xfId="401"/>
    <cellStyle name="Comma 6 2 4" xfId="339"/>
    <cellStyle name="Comma 6 3" xfId="274"/>
    <cellStyle name="Comma 6 3 2" xfId="382"/>
    <cellStyle name="Comma 6 4" xfId="209"/>
    <cellStyle name="Comma 6 4 2" xfId="426"/>
    <cellStyle name="Comma 6 5" xfId="320"/>
    <cellStyle name="Comma 7" xfId="111"/>
    <cellStyle name="Normal" xfId="0" builtinId="0"/>
    <cellStyle name="Normal 10" xfId="99"/>
    <cellStyle name="Normal 10 2" xfId="144"/>
    <cellStyle name="Normal 10 2 2" xfId="168"/>
    <cellStyle name="Normal 10 2 2 2" xfId="285"/>
    <cellStyle name="Normal 10 2 2 2 2" xfId="393"/>
    <cellStyle name="Normal 10 2 2 3" xfId="242"/>
    <cellStyle name="Normal 10 2 2 3 2" xfId="455"/>
    <cellStyle name="Normal 10 2 2 4" xfId="350"/>
    <cellStyle name="Normal 10 2 3" xfId="260"/>
    <cellStyle name="Normal 10 2 3 2" xfId="368"/>
    <cellStyle name="Normal 10 2 4" xfId="202"/>
    <cellStyle name="Normal 10 2 4 2" xfId="419"/>
    <cellStyle name="Normal 10 2 5" xfId="313"/>
    <cellStyle name="Normal 10 3" xfId="125"/>
    <cellStyle name="Normal 10 3 2" xfId="163"/>
    <cellStyle name="Normal 10 3 2 2" xfId="234"/>
    <cellStyle name="Normal 10 3 2 3" xfId="403"/>
    <cellStyle name="Normal 10 3 3" xfId="198"/>
    <cellStyle name="Normal 10 3 3 2" xfId="415"/>
    <cellStyle name="Normal 10 3 4" xfId="309"/>
    <cellStyle name="Normal 10 4" xfId="154"/>
    <cellStyle name="Normal 10 4 2" xfId="266"/>
    <cellStyle name="Normal 10 4 2 2" xfId="374"/>
    <cellStyle name="Normal 10 4 3" xfId="223"/>
    <cellStyle name="Normal 10 4 3 2" xfId="437"/>
    <cellStyle name="Normal 10 4 4" xfId="331"/>
    <cellStyle name="Normal 10 5" xfId="257"/>
    <cellStyle name="Normal 10 5 2" xfId="365"/>
    <cellStyle name="Normal 11" xfId="126"/>
    <cellStyle name="Normal 12" xfId="36"/>
    <cellStyle name="Normal 12 2" xfId="136"/>
    <cellStyle name="Normal 12 3" xfId="117"/>
    <cellStyle name="Normal 13" xfId="61"/>
    <cellStyle name="Normal 13 2" xfId="37"/>
    <cellStyle name="Normal 13 3" xfId="130"/>
    <cellStyle name="Normal 13 3 2" xfId="150"/>
    <cellStyle name="Normal 13 3 3" xfId="177"/>
    <cellStyle name="Normal 14" xfId="35"/>
    <cellStyle name="Normal 14 2" xfId="135"/>
    <cellStyle name="Normal 14 3" xfId="115"/>
    <cellStyle name="Normal 15" xfId="116"/>
    <cellStyle name="Normal 16" xfId="62"/>
    <cellStyle name="Normal 17" xfId="23"/>
    <cellStyle name="Normal 17 2" xfId="63"/>
    <cellStyle name="Normal 18" xfId="22"/>
    <cellStyle name="Normal 18 2" xfId="64"/>
    <cellStyle name="Normal 19" xfId="87"/>
    <cellStyle name="Normal 19 2" xfId="143"/>
    <cellStyle name="Normal 19 3" xfId="110"/>
    <cellStyle name="Normal 2" xfId="12"/>
    <cellStyle name="Normal 2 2" xfId="29"/>
    <cellStyle name="Normal 2 2 2" xfId="48"/>
    <cellStyle name="Normal 2 3" xfId="47"/>
    <cellStyle name="Normal 2 3 2" xfId="49"/>
    <cellStyle name="Normal 2 4" xfId="103"/>
    <cellStyle name="Normal 2 4 2" xfId="294"/>
    <cellStyle name="Normal 2 5" xfId="50"/>
    <cellStyle name="Normal 2 5 2" xfId="102"/>
    <cellStyle name="Normal 2 5 2 2" xfId="141"/>
    <cellStyle name="Normal 2 5 2 2 2" xfId="284"/>
    <cellStyle name="Normal 2 5 2 2 2 2" xfId="392"/>
    <cellStyle name="Normal 2 5 2 2 3" xfId="241"/>
    <cellStyle name="Normal 2 5 2 2 3 2" xfId="454"/>
    <cellStyle name="Normal 2 5 2 2 4" xfId="349"/>
    <cellStyle name="Normal 2 5 2 3" xfId="160"/>
    <cellStyle name="Normal 2 5 2 3 2" xfId="272"/>
    <cellStyle name="Normal 2 5 2 3 2 2" xfId="380"/>
    <cellStyle name="Normal 2 5 2 3 3" xfId="229"/>
    <cellStyle name="Normal 2 5 2 3 3 2" xfId="443"/>
    <cellStyle name="Normal 2 5 2 3 4" xfId="337"/>
    <cellStyle name="Normal 2 5 2 4" xfId="262"/>
    <cellStyle name="Normal 2 5 2 4 2" xfId="370"/>
    <cellStyle name="Normal 2 5 2 5" xfId="208"/>
    <cellStyle name="Normal 2 5 2 5 2" xfId="425"/>
    <cellStyle name="Normal 2 5 2 6" xfId="319"/>
    <cellStyle name="Normal 2 5 3" xfId="108"/>
    <cellStyle name="Normal 2 5 3 2" xfId="232"/>
    <cellStyle name="Normal 2 5 3 2 2" xfId="446"/>
    <cellStyle name="Normal 2 5 3 2 3" xfId="341"/>
    <cellStyle name="Normal 2 5 3 3" xfId="276"/>
    <cellStyle name="Normal 2 5 3 3 2" xfId="384"/>
    <cellStyle name="Normal 2 5 3 4" xfId="200"/>
    <cellStyle name="Normal 2 5 3 4 2" xfId="417"/>
    <cellStyle name="Normal 2 5 3 5" xfId="311"/>
    <cellStyle name="Normal 2 5 4" xfId="174"/>
    <cellStyle name="Normal 2 5 4 2" xfId="249"/>
    <cellStyle name="Normal 2 5 4 2 2" xfId="462"/>
    <cellStyle name="Normal 2 5 4 2 3" xfId="357"/>
    <cellStyle name="Normal 2 5 4 3" xfId="292"/>
    <cellStyle name="Normal 2 5 4 3 2" xfId="400"/>
    <cellStyle name="Normal 2 5 4 4" xfId="213"/>
    <cellStyle name="Normal 2 5 4 4 2" xfId="430"/>
    <cellStyle name="Normal 2 5 4 5" xfId="324"/>
    <cellStyle name="Normal 2 5 5" xfId="152"/>
    <cellStyle name="Normal 2 5 5 2" xfId="264"/>
    <cellStyle name="Normal 2 5 5 2 2" xfId="372"/>
    <cellStyle name="Normal 2 5 5 3" xfId="221"/>
    <cellStyle name="Normal 2 5 5 3 2" xfId="435"/>
    <cellStyle name="Normal 2 5 5 4" xfId="329"/>
    <cellStyle name="Normal 2 5 6" xfId="255"/>
    <cellStyle name="Normal 2 5 6 2" xfId="363"/>
    <cellStyle name="Normal 2 5 7" xfId="195"/>
    <cellStyle name="Normal 2 5 7 2" xfId="412"/>
    <cellStyle name="Normal 2 5 8" xfId="468"/>
    <cellStyle name="Normal 2 5 9" xfId="306"/>
    <cellStyle name="Normal 2 6" xfId="295"/>
    <cellStyle name="Normal 20" xfId="88"/>
    <cellStyle name="Normal 21" xfId="89"/>
    <cellStyle name="Normal 22" xfId="90"/>
    <cellStyle name="Normal 23" xfId="91"/>
    <cellStyle name="Normal 24" xfId="121"/>
    <cellStyle name="Normal 25" xfId="92"/>
    <cellStyle name="Normal 26" xfId="93"/>
    <cellStyle name="Normal 27" xfId="65"/>
    <cellStyle name="Normal 28" xfId="66"/>
    <cellStyle name="Normal 29" xfId="67"/>
    <cellStyle name="Normal 3" xfId="39"/>
    <cellStyle name="Normal 3 2" xfId="137"/>
    <cellStyle name="Normal 3 2 2" xfId="298"/>
    <cellStyle name="Normal 3 3" xfId="112"/>
    <cellStyle name="Normal 30" xfId="68"/>
    <cellStyle name="Normal 31" xfId="69"/>
    <cellStyle name="Normal 32" xfId="70"/>
    <cellStyle name="Normal 33" xfId="71"/>
    <cellStyle name="Normal 34" xfId="72"/>
    <cellStyle name="Normal 35" xfId="73"/>
    <cellStyle name="Normal 36" xfId="74"/>
    <cellStyle name="Normal 37" xfId="75"/>
    <cellStyle name="Normal 38" xfId="122"/>
    <cellStyle name="Normal 39" xfId="76"/>
    <cellStyle name="Normal 4" xfId="26"/>
    <cellStyle name="Normal 4 2" xfId="142"/>
    <cellStyle name="Normal 4 2 2" xfId="297"/>
    <cellStyle name="Normal 4 3" xfId="43"/>
    <cellStyle name="Normal 4 4" xfId="293"/>
    <cellStyle name="Normal 40" xfId="77"/>
    <cellStyle name="Normal 41" xfId="78"/>
    <cellStyle name="Normal 42" xfId="79"/>
    <cellStyle name="Normal 43" xfId="80"/>
    <cellStyle name="Normal 44" xfId="81"/>
    <cellStyle name="Normal 45" xfId="82"/>
    <cellStyle name="Normal 46" xfId="83"/>
    <cellStyle name="Normal 47" xfId="84"/>
    <cellStyle name="Normal 48" xfId="85"/>
    <cellStyle name="Normal 49" xfId="94"/>
    <cellStyle name="Normal 5" xfId="98"/>
    <cellStyle name="Normal 5 2" xfId="113"/>
    <cellStyle name="Normal 5 2 2" xfId="145"/>
    <cellStyle name="Normal 5 2 2 2" xfId="162"/>
    <cellStyle name="Normal 5 2 2 2 2" xfId="243"/>
    <cellStyle name="Normal 5 2 2 2 2 2" xfId="456"/>
    <cellStyle name="Normal 5 2 2 2 3" xfId="402"/>
    <cellStyle name="Normal 5 2 2 2 4" xfId="351"/>
    <cellStyle name="Normal 5 2 2 3" xfId="286"/>
    <cellStyle name="Normal 5 2 2 3 2" xfId="394"/>
    <cellStyle name="Normal 5 2 3" xfId="183"/>
    <cellStyle name="Normal 5 2 4" xfId="259"/>
    <cellStyle name="Normal 5 2 4 2" xfId="367"/>
    <cellStyle name="Normal 5 2 5" xfId="201"/>
    <cellStyle name="Normal 5 2 5 2" xfId="418"/>
    <cellStyle name="Normal 5 2 6" xfId="470"/>
    <cellStyle name="Normal 5 2 7" xfId="312"/>
    <cellStyle name="Normal 5 3" xfId="132"/>
    <cellStyle name="Normal 5 3 2" xfId="165"/>
    <cellStyle name="Normal 5 3 2 2" xfId="235"/>
    <cellStyle name="Normal 5 3 2 2 2" xfId="448"/>
    <cellStyle name="Normal 5 3 2 3" xfId="405"/>
    <cellStyle name="Normal 5 3 2 4" xfId="343"/>
    <cellStyle name="Normal 5 3 3" xfId="278"/>
    <cellStyle name="Normal 5 3 3 2" xfId="386"/>
    <cellStyle name="Normal 5 3 4" xfId="197"/>
    <cellStyle name="Normal 5 3 4 2" xfId="414"/>
    <cellStyle name="Normal 5 3 5" xfId="308"/>
    <cellStyle name="Normal 5 4" xfId="109"/>
    <cellStyle name="Normal 5 4 2" xfId="277"/>
    <cellStyle name="Normal 5 4 2 2" xfId="385"/>
    <cellStyle name="Normal 5 4 3" xfId="233"/>
    <cellStyle name="Normal 5 4 3 2" xfId="447"/>
    <cellStyle name="Normal 5 4 4" xfId="342"/>
    <cellStyle name="Normal 5 5" xfId="153"/>
    <cellStyle name="Normal 5 5 2" xfId="265"/>
    <cellStyle name="Normal 5 5 2 2" xfId="373"/>
    <cellStyle name="Normal 5 5 3" xfId="222"/>
    <cellStyle name="Normal 5 5 3 2" xfId="436"/>
    <cellStyle name="Normal 5 5 4" xfId="330"/>
    <cellStyle name="Normal 5 6" xfId="256"/>
    <cellStyle name="Normal 5 6 2" xfId="364"/>
    <cellStyle name="Normal 5 7" xfId="469"/>
    <cellStyle name="Normal 50" xfId="95"/>
    <cellStyle name="Normal 51" xfId="96"/>
    <cellStyle name="Normal 52" xfId="86"/>
    <cellStyle name="Normal 53" xfId="118"/>
    <cellStyle name="Normal 54" xfId="119"/>
    <cellStyle name="Normal 55" xfId="120"/>
    <cellStyle name="Normal 56" xfId="44"/>
    <cellStyle name="Normal 57" xfId="30"/>
    <cellStyle name="Normal 57 10" xfId="463"/>
    <cellStyle name="Normal 57 11" xfId="301"/>
    <cellStyle name="Normal 57 2" xfId="40"/>
    <cellStyle name="Normal 57 3" xfId="101"/>
    <cellStyle name="Normal 57 3 2" xfId="133"/>
    <cellStyle name="Normal 57 3 2 2" xfId="279"/>
    <cellStyle name="Normal 57 3 2 2 2" xfId="387"/>
    <cellStyle name="Normal 57 3 2 3" xfId="236"/>
    <cellStyle name="Normal 57 3 2 3 2" xfId="449"/>
    <cellStyle name="Normal 57 3 2 4" xfId="344"/>
    <cellStyle name="Normal 57 3 3" xfId="155"/>
    <cellStyle name="Normal 57 3 3 2" xfId="267"/>
    <cellStyle name="Normal 57 3 3 2 2" xfId="375"/>
    <cellStyle name="Normal 57 3 3 3" xfId="224"/>
    <cellStyle name="Normal 57 3 3 3 2" xfId="438"/>
    <cellStyle name="Normal 57 3 3 4" xfId="332"/>
    <cellStyle name="Normal 57 3 4" xfId="261"/>
    <cellStyle name="Normal 57 3 4 2" xfId="369"/>
    <cellStyle name="Normal 57 3 5" xfId="203"/>
    <cellStyle name="Normal 57 3 5 2" xfId="420"/>
    <cellStyle name="Normal 57 3 6" xfId="314"/>
    <cellStyle name="Normal 57 4" xfId="105"/>
    <cellStyle name="Normal 57 4 2" xfId="182"/>
    <cellStyle name="Normal 57 4 2 2" xfId="273"/>
    <cellStyle name="Normal 57 4 2 2 2" xfId="381"/>
    <cellStyle name="Normal 57 4 2 3" xfId="338"/>
    <cellStyle name="Normal 57 4 3" xfId="258"/>
    <cellStyle name="Normal 57 4 3 2" xfId="366"/>
    <cellStyle name="Normal 57 4 4" xfId="199"/>
    <cellStyle name="Normal 57 4 4 2" xfId="416"/>
    <cellStyle name="Normal 57 4 5" xfId="310"/>
    <cellStyle name="Normal 57 5" xfId="169"/>
    <cellStyle name="Normal 57 5 2" xfId="244"/>
    <cellStyle name="Normal 57 5 2 2" xfId="457"/>
    <cellStyle name="Normal 57 5 2 3" xfId="352"/>
    <cellStyle name="Normal 57 5 3" xfId="287"/>
    <cellStyle name="Normal 57 5 3 2" xfId="395"/>
    <cellStyle name="Normal 57 5 4" xfId="196"/>
    <cellStyle name="Normal 57 5 4 2" xfId="413"/>
    <cellStyle name="Normal 57 5 5" xfId="307"/>
    <cellStyle name="Normal 57 6" xfId="151"/>
    <cellStyle name="Normal 57 6 2" xfId="263"/>
    <cellStyle name="Normal 57 6 2 2" xfId="371"/>
    <cellStyle name="Normal 57 6 3" xfId="214"/>
    <cellStyle name="Normal 57 6 3 2" xfId="431"/>
    <cellStyle name="Normal 57 6 4" xfId="325"/>
    <cellStyle name="Normal 57 7" xfId="220"/>
    <cellStyle name="Normal 57 7 2" xfId="434"/>
    <cellStyle name="Normal 57 7 3" xfId="328"/>
    <cellStyle name="Normal 57 8" xfId="250"/>
    <cellStyle name="Normal 57 8 2" xfId="358"/>
    <cellStyle name="Normal 57 9" xfId="190"/>
    <cellStyle name="Normal 57 9 2" xfId="407"/>
    <cellStyle name="Normal 58" xfId="42"/>
    <cellStyle name="Normal 58 10" xfId="302"/>
    <cellStyle name="Normal 58 2" xfId="41"/>
    <cellStyle name="Normal 58 3" xfId="138"/>
    <cellStyle name="Normal 58 3 2" xfId="167"/>
    <cellStyle name="Normal 58 3 2 2" xfId="237"/>
    <cellStyle name="Normal 58 3 2 2 2" xfId="450"/>
    <cellStyle name="Normal 58 3 2 3" xfId="406"/>
    <cellStyle name="Normal 58 3 2 4" xfId="345"/>
    <cellStyle name="Normal 58 3 3" xfId="280"/>
    <cellStyle name="Normal 58 3 3 2" xfId="388"/>
    <cellStyle name="Normal 58 3 4" xfId="204"/>
    <cellStyle name="Normal 58 3 4 2" xfId="421"/>
    <cellStyle name="Normal 58 3 5" xfId="315"/>
    <cellStyle name="Normal 58 4" xfId="107"/>
    <cellStyle name="Normal 58 4 2" xfId="231"/>
    <cellStyle name="Normal 58 4 2 2" xfId="445"/>
    <cellStyle name="Normal 58 4 2 3" xfId="340"/>
    <cellStyle name="Normal 58 4 3" xfId="275"/>
    <cellStyle name="Normal 58 4 3 2" xfId="383"/>
    <cellStyle name="Normal 58 4 4" xfId="215"/>
    <cellStyle name="Normal 58 4 4 2" xfId="432"/>
    <cellStyle name="Normal 58 4 5" xfId="326"/>
    <cellStyle name="Normal 58 5" xfId="170"/>
    <cellStyle name="Normal 58 5 2" xfId="288"/>
    <cellStyle name="Normal 58 5 2 2" xfId="396"/>
    <cellStyle name="Normal 58 5 3" xfId="245"/>
    <cellStyle name="Normal 58 5 3 2" xfId="458"/>
    <cellStyle name="Normal 58 5 4" xfId="353"/>
    <cellStyle name="Normal 58 6" xfId="156"/>
    <cellStyle name="Normal 58 6 2" xfId="268"/>
    <cellStyle name="Normal 58 6 2 2" xfId="376"/>
    <cellStyle name="Normal 58 6 3" xfId="225"/>
    <cellStyle name="Normal 58 6 3 2" xfId="439"/>
    <cellStyle name="Normal 58 6 4" xfId="333"/>
    <cellStyle name="Normal 58 7" xfId="251"/>
    <cellStyle name="Normal 58 7 2" xfId="359"/>
    <cellStyle name="Normal 58 8" xfId="191"/>
    <cellStyle name="Normal 58 8 2" xfId="408"/>
    <cellStyle name="Normal 58 9" xfId="464"/>
    <cellStyle name="Normal 59" xfId="46"/>
    <cellStyle name="Normal 6" xfId="31"/>
    <cellStyle name="Normal 6 2 2" xfId="45"/>
    <cellStyle name="Normal 6_sreb progression tab 2 redo" xfId="38"/>
    <cellStyle name="Normal 60" xfId="57"/>
    <cellStyle name="Normal 60 2" xfId="189"/>
    <cellStyle name="Normal 60 3" xfId="471"/>
    <cellStyle name="Normal 61" xfId="175"/>
    <cellStyle name="Normal 61 2" xfId="188"/>
    <cellStyle name="Normal 61 3" xfId="476"/>
    <cellStyle name="Normal 62" xfId="149"/>
    <cellStyle name="Normal 62 2" xfId="185"/>
    <cellStyle name="Normal 62 3" xfId="475"/>
    <cellStyle name="Normal 63" xfId="164"/>
    <cellStyle name="Normal 63 2" xfId="210"/>
    <cellStyle name="Normal 63 2 2" xfId="427"/>
    <cellStyle name="Normal 63 3" xfId="404"/>
    <cellStyle name="Normal 63 4" xfId="321"/>
    <cellStyle name="Normal 64" xfId="146"/>
    <cellStyle name="Normal 64 2" xfId="217"/>
    <cellStyle name="Normal 64 3" xfId="472"/>
    <cellStyle name="Normal 65" xfId="147"/>
    <cellStyle name="Normal 65 2" xfId="219"/>
    <cellStyle name="Normal 65 3" xfId="473"/>
    <cellStyle name="Normal 66" xfId="148"/>
    <cellStyle name="Normal 66 2" xfId="218"/>
    <cellStyle name="Normal 66 3" xfId="474"/>
    <cellStyle name="Normal 67" xfId="179"/>
    <cellStyle name="Normal 68" xfId="178"/>
    <cellStyle name="Normal 69" xfId="184"/>
    <cellStyle name="Normal 7" xfId="16"/>
    <cellStyle name="Normal 7 2" xfId="140"/>
    <cellStyle name="Normal 7 2 2" xfId="240"/>
    <cellStyle name="Normal 7 2 2 2" xfId="453"/>
    <cellStyle name="Normal 7 2 2 3" xfId="348"/>
    <cellStyle name="Normal 7 2 3" xfId="283"/>
    <cellStyle name="Normal 7 2 3 2" xfId="391"/>
    <cellStyle name="Normal 7 2 4" xfId="207"/>
    <cellStyle name="Normal 7 2 4 2" xfId="424"/>
    <cellStyle name="Normal 7 2 5" xfId="318"/>
    <cellStyle name="Normal 7 3" xfId="173"/>
    <cellStyle name="Normal 7 3 2" xfId="248"/>
    <cellStyle name="Normal 7 3 2 2" xfId="461"/>
    <cellStyle name="Normal 7 3 2 3" xfId="356"/>
    <cellStyle name="Normal 7 3 3" xfId="291"/>
    <cellStyle name="Normal 7 3 3 2" xfId="399"/>
    <cellStyle name="Normal 7 3 4" xfId="216"/>
    <cellStyle name="Normal 7 3 4 2" xfId="433"/>
    <cellStyle name="Normal 7 3 5" xfId="327"/>
    <cellStyle name="Normal 7 4" xfId="159"/>
    <cellStyle name="Normal 7 4 2" xfId="271"/>
    <cellStyle name="Normal 7 4 2 2" xfId="379"/>
    <cellStyle name="Normal 7 4 3" xfId="228"/>
    <cellStyle name="Normal 7 4 3 2" xfId="442"/>
    <cellStyle name="Normal 7 4 4" xfId="336"/>
    <cellStyle name="Normal 7 5" xfId="254"/>
    <cellStyle name="Normal 7 5 2" xfId="362"/>
    <cellStyle name="Normal 7 6" xfId="194"/>
    <cellStyle name="Normal 7 6 2" xfId="411"/>
    <cellStyle name="Normal 7 7" xfId="467"/>
    <cellStyle name="Normal 7 8" xfId="305"/>
    <cellStyle name="Normal 70" xfId="186"/>
    <cellStyle name="Normal 71" xfId="51"/>
    <cellStyle name="Normal 72" xfId="52"/>
    <cellStyle name="Normal 73" xfId="187"/>
    <cellStyle name="Normal 74" xfId="180"/>
    <cellStyle name="Normal 75" xfId="181"/>
    <cellStyle name="Normal 76" xfId="299"/>
    <cellStyle name="Normal 77" xfId="300"/>
    <cellStyle name="Normal 8" xfId="34"/>
    <cellStyle name="Normal 8 2" xfId="134"/>
    <cellStyle name="Normal 8 3" xfId="123"/>
    <cellStyle name="Normal 83" xfId="53"/>
    <cellStyle name="Normal 84" xfId="54"/>
    <cellStyle name="Normal 86" xfId="55"/>
    <cellStyle name="Normal 9" xfId="124"/>
    <cellStyle name="Normal 9 2" xfId="296"/>
    <cellStyle name="Normal 98" xfId="56"/>
    <cellStyle name="Normal_03TTA09mastersurvey" xfId="17"/>
    <cellStyle name="Normal_05InstructionTypes09mastersurvey" xfId="2"/>
    <cellStyle name="Normal_Degree02 Form" xfId="19"/>
    <cellStyle name="Normal_Degree02 Form 2" xfId="5"/>
    <cellStyle name="Normal_Degree02 Form 3" xfId="129"/>
    <cellStyle name="Normal_Degrees02 Form" xfId="18"/>
    <cellStyle name="Normal_Degrees02 Form 2" xfId="20"/>
    <cellStyle name="Normal_Degrees02 Form 3" xfId="128"/>
    <cellStyle name="Normal_E-learning04 Form" xfId="4"/>
    <cellStyle name="Normal_InstructionTypes07" xfId="3"/>
    <cellStyle name="Normal_SCH&amp;FTE02 Form" xfId="7"/>
    <cellStyle name="Normal_SCH&amp;FTE03 Form" xfId="21"/>
    <cellStyle name="Normal_StProg01B 2" xfId="9"/>
    <cellStyle name="Normal_StProg02 Form" xfId="25"/>
    <cellStyle name="Normal_StProg02 Form 2" xfId="10"/>
    <cellStyle name="Percent" xfId="1" builtinId="5"/>
    <cellStyle name="Percent 2" xfId="27"/>
    <cellStyle name="Percent 2 2" xfId="131"/>
    <cellStyle name="Percent 2 2 2" xfId="176"/>
    <cellStyle name="Percent 2 2 3" xfId="166"/>
    <cellStyle name="Percent 2 3" xfId="97"/>
    <cellStyle name="Percent 3" xfId="28"/>
    <cellStyle name="Percent 4" xfId="32"/>
    <cellStyle name="Percent 5" xfId="100"/>
    <cellStyle name="Percent 6" xfId="58"/>
    <cellStyle name="questionable" xfId="59"/>
    <cellStyle name="questionable 2" xfId="114"/>
    <cellStyle name="review" xfId="60"/>
  </cellStyles>
  <dxfs count="816">
    <dxf>
      <fill>
        <patternFill patternType="none">
          <bgColor auto="1"/>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border>
        <left style="thin">
          <color indexed="64"/>
        </left>
      </border>
    </dxf>
    <dxf>
      <font>
        <color indexed="53"/>
      </font>
    </dxf>
    <dxf>
      <font>
        <b/>
      </font>
    </dxf>
    <dxf>
      <font>
        <b/>
      </font>
    </dxf>
    <dxf>
      <font>
        <b/>
      </font>
    </dxf>
    <dxf>
      <font>
        <b/>
      </font>
    </dxf>
    <dxf>
      <font>
        <b/>
      </font>
    </dxf>
    <dxf>
      <font>
        <b/>
      </font>
    </dxf>
    <dxf>
      <font>
        <b/>
      </font>
    </dxf>
    <dxf>
      <font>
        <b/>
      </font>
    </dxf>
    <dxf>
      <font>
        <b/>
      </font>
    </dxf>
    <dxf>
      <font>
        <color indexed="19"/>
      </font>
    </dxf>
    <dxf>
      <font>
        <color indexed="19"/>
      </font>
    </dxf>
    <dxf>
      <font>
        <color indexed="19"/>
      </font>
    </dxf>
    <dxf>
      <font>
        <color indexed="19"/>
      </font>
    </dxf>
    <dxf>
      <font>
        <color indexed="19"/>
      </font>
    </dxf>
    <dxf>
      <font>
        <color indexed="19"/>
      </font>
    </dxf>
    <dxf>
      <font>
        <color indexed="19"/>
      </font>
    </dxf>
    <dxf>
      <font>
        <color indexed="19"/>
      </font>
    </dxf>
    <dxf>
      <font>
        <color indexed="19"/>
      </font>
    </dxf>
    <dxf>
      <font>
        <color indexed="19"/>
      </font>
    </dxf>
    <dxf>
      <font>
        <color indexed="19"/>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23"/>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61"/>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48"/>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4"/>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17"/>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font>
        <color indexed="53"/>
      </font>
    </dxf>
    <dxf>
      <numFmt numFmtId="165" formatCode="_(* #,##0_);_(* \(#,##0\);_(* &quot;-&quot;??_);_(@_)"/>
    </dxf>
    <dxf>
      <fill>
        <patternFill patternType="none"/>
      </fill>
    </dxf>
    <dxf>
      <border>
        <bottom style="thin">
          <color indexed="64"/>
        </bottom>
      </border>
    </dxf>
    <dxf>
      <border>
        <bottom style="thin">
          <color indexed="64"/>
        </bottom>
      </border>
    </dxf>
    <dxf>
      <border>
        <bottom style="thin">
          <color indexed="64"/>
        </bottom>
      </border>
    </dxf>
    <dxf>
      <border>
        <bottom style="thin">
          <color indexed="8"/>
        </bottom>
      </border>
    </dxf>
    <dxf>
      <border>
        <top style="thin">
          <color indexed="8"/>
        </top>
      </border>
    </dxf>
    <dxf>
      <border>
        <top style="thin">
          <color indexed="8"/>
        </top>
      </border>
    </dxf>
    <dxf>
      <border>
        <top style="thin">
          <color indexed="8"/>
        </top>
      </border>
    </dxf>
    <dxf>
      <border>
        <top style="thin">
          <color indexed="8"/>
        </top>
      </border>
    </dxf>
    <dxf>
      <border>
        <bottom style="thin">
          <color indexed="64"/>
        </bottom>
      </border>
    </dxf>
    <dxf>
      <border>
        <bottom style="thin">
          <color indexed="64"/>
        </bottom>
      </border>
    </dxf>
    <dxf>
      <border>
        <top/>
      </border>
    </dxf>
    <dxf>
      <fill>
        <patternFill patternType="solid">
          <bgColor indexed="43"/>
        </patternFill>
      </fill>
    </dxf>
    <dxf>
      <fill>
        <patternFill patternType="solid">
          <bgColor indexed="51"/>
        </patternFill>
      </fill>
    </dxf>
    <dxf>
      <fill>
        <patternFill patternType="solid">
          <bgColor indexed="45"/>
        </patternFill>
      </fill>
    </dxf>
    <dxf>
      <fill>
        <patternFill patternType="solid">
          <bgColor indexed="47"/>
        </patternFill>
      </fill>
    </dxf>
    <dxf>
      <font>
        <b val="0"/>
      </font>
    </dxf>
    <dxf>
      <font>
        <b val="0"/>
      </font>
    </dxf>
    <dxf>
      <border>
        <top style="thin">
          <color indexed="8"/>
        </top>
        <bottom/>
      </border>
    </dxf>
    <dxf>
      <font>
        <b/>
      </font>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3" formatCode="0%"/>
    </dxf>
    <dxf>
      <numFmt numFmtId="13" formatCode="0%"/>
    </dxf>
    <dxf>
      <numFmt numFmtId="13" formatCode="0%"/>
    </dxf>
    <dxf>
      <font>
        <b/>
        <i val="0"/>
        <color rgb="FFFF0000"/>
      </font>
    </dxf>
    <dxf>
      <font>
        <b/>
        <i val="0"/>
        <color rgb="FFFF0000"/>
      </font>
    </dxf>
    <dxf>
      <fill>
        <patternFill patternType="none">
          <bgColor auto="1"/>
        </patternFill>
      </fill>
    </dxf>
    <dxf>
      <fill>
        <patternFill patternType="none">
          <bgColor auto="1"/>
        </patternFill>
      </fill>
    </dxf>
    <dxf>
      <fill>
        <patternFill patternType="solid">
          <bgColor theme="5" tint="0.59999389629810485"/>
        </patternFill>
      </fill>
    </dxf>
    <dxf>
      <fill>
        <patternFill patternType="solid">
          <bgColor theme="5" tint="0.59999389629810485"/>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fgColor indexed="64"/>
          <bgColor rgb="FFFFFF00"/>
        </patternFill>
      </fill>
    </dxf>
    <dxf>
      <fill>
        <patternFill patternType="solid">
          <bgColor rgb="FFFFFF00"/>
        </patternFill>
      </fill>
    </dxf>
    <dxf>
      <numFmt numFmtId="170" formatCode="#,##0.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rgb="FFFFFF00"/>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border>
        <bottom style="thin">
          <color indexed="64"/>
        </bottom>
      </border>
    </dxf>
    <dxf>
      <border>
        <bottom style="thin">
          <color indexed="64"/>
        </bottom>
      </border>
    </dxf>
    <dxf>
      <numFmt numFmtId="170" formatCode="#,##0.0"/>
    </dxf>
    <dxf>
      <font>
        <color auto="1"/>
      </font>
    </dxf>
    <dxf>
      <border>
        <left/>
      </border>
    </dxf>
    <dxf>
      <fill>
        <patternFill patternType="none">
          <bgColor auto="1"/>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68" formatCode="_(* #,##0.0_);_(* \(#,##0.0\);_(* &quot;-&quot;??_);_(@_)"/>
    </dxf>
    <dxf>
      <numFmt numFmtId="170" formatCode="#,##0.0"/>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border>
        <left style="thin">
          <color indexed="64"/>
        </left>
        <right style="thin">
          <color indexed="64"/>
        </right>
        <top style="thin">
          <color indexed="64"/>
        </top>
        <bottom style="thin">
          <color indexed="64"/>
        </bottom>
      </border>
    </dxf>
    <dxf>
      <fill>
        <patternFill patternType="solid">
          <bgColor theme="5" tint="0.79998168889431442"/>
        </patternFill>
      </fill>
    </dxf>
    <dxf>
      <font>
        <b/>
      </font>
      <numFmt numFmtId="167" formatCode="0.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79998168889431442"/>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numFmt numFmtId="0" formatCode="General"/>
    </dxf>
    <dxf>
      <border>
        <bottom style="thin">
          <color indexed="64"/>
        </bottom>
      </border>
    </dxf>
    <dxf>
      <font>
        <b val="0"/>
      </font>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5" formatCode="_(* #,##0_);_(* \(#,##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numFmt numFmtId="168" formatCode="_(* #,##0.0_);_(* \(#,##0.0\);_(* &quot;-&quot;??_);_(@_)"/>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66" formatCode="0.0%"/>
    </dxf>
    <dxf>
      <border>
        <right style="thin">
          <color indexed="64"/>
        </right>
      </border>
    </dxf>
    <dxf>
      <border>
        <right style="thin">
          <color indexed="64"/>
        </right>
      </border>
    </dxf>
    <dxf>
      <border>
        <right style="thin">
          <color indexed="64"/>
        </right>
      </border>
    </dxf>
    <dxf>
      <numFmt numFmtId="166" formatCode="0.0%"/>
    </dxf>
    <dxf>
      <font>
        <b val="0"/>
      </font>
    </dxf>
    <dxf>
      <font>
        <b val="0"/>
      </font>
    </dxf>
    <dxf>
      <font>
        <b val="0"/>
      </font>
    </dxf>
    <dxf>
      <font>
        <b val="0"/>
      </font>
    </dxf>
    <dxf>
      <font>
        <b/>
      </font>
    </dxf>
    <dxf>
      <font>
        <b val="0"/>
      </font>
    </dxf>
    <dxf>
      <font>
        <b val="0"/>
      </font>
    </dxf>
    <dxf>
      <font>
        <b val="0"/>
      </font>
    </dxf>
    <dxf>
      <font>
        <b val="0"/>
      </font>
    </dxf>
    <dxf>
      <font>
        <b val="0"/>
      </font>
    </dxf>
    <dxf>
      <font>
        <b val="0"/>
      </font>
    </dxf>
    <dxf>
      <font>
        <b val="0"/>
      </font>
    </dxf>
    <dxf>
      <font>
        <b val="0"/>
      </font>
    </dxf>
    <dxf>
      <font>
        <b/>
      </font>
    </dxf>
    <dxf>
      <font>
        <b/>
      </font>
    </dxf>
    <dxf>
      <border>
        <right/>
        <top/>
        <vertical/>
      </border>
    </dxf>
    <dxf>
      <border>
        <left/>
        <right/>
        <top/>
        <vertical/>
      </border>
    </dxf>
    <dxf>
      <border>
        <left/>
        <top/>
      </border>
    </dxf>
    <dxf>
      <border>
        <right/>
      </border>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ill>
        <patternFill patternType="solid">
          <bgColor indexed="13"/>
        </patternFill>
      </fill>
    </dxf>
    <dxf>
      <fill>
        <patternFill patternType="solid">
          <bgColor indexed="13"/>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ont>
        <b/>
      </font>
    </dxf>
    <dxf>
      <font>
        <b/>
      </font>
    </dxf>
    <dxf>
      <font>
        <b/>
      </font>
    </dxf>
    <dxf>
      <font>
        <b/>
      </font>
    </dxf>
    <dxf>
      <font>
        <b/>
      </font>
    </dxf>
    <dxf>
      <font>
        <b/>
      </font>
    </dxf>
    <dxf>
      <font>
        <b/>
      </font>
    </dxf>
    <dxf>
      <font>
        <b/>
      </font>
    </dxf>
    <dxf>
      <font>
        <b/>
      </font>
    </dxf>
    <dxf>
      <font>
        <b/>
      </font>
    </dxf>
    <dxf>
      <font>
        <b/>
      </font>
    </dxf>
    <dxf>
      <fill>
        <patternFill patternType="none"/>
      </fill>
    </dxf>
    <dxf>
      <fill>
        <patternFill patternType="none"/>
      </fill>
    </dxf>
    <dxf>
      <fill>
        <patternFill patternType="solid">
          <bgColor indexed="13"/>
        </patternFill>
      </fill>
    </dxf>
    <dxf>
      <fill>
        <patternFill patternType="solid">
          <bgColor indexed="13"/>
        </patternFill>
      </fill>
    </dxf>
    <dxf>
      <border>
        <left style="thin">
          <color indexed="64"/>
        </left>
      </border>
    </dxf>
    <dxf>
      <border>
        <left style="thin">
          <color indexed="64"/>
        </left>
      </border>
    </dxf>
    <dxf>
      <border>
        <left/>
      </border>
    </dxf>
    <dxf>
      <border>
        <left/>
      </border>
    </dxf>
    <dxf>
      <border>
        <left/>
      </border>
    </dxf>
    <dxf>
      <border>
        <left/>
      </border>
    </dxf>
    <dxf>
      <border>
        <left/>
      </border>
    </dxf>
    <dxf>
      <font>
        <b/>
      </font>
      <numFmt numFmtId="170" formatCode="#,##0.0"/>
    </dxf>
    <dxf>
      <border>
        <left/>
      </border>
    </dxf>
    <dxf>
      <border>
        <left/>
      </border>
    </dxf>
    <dxf>
      <font>
        <b/>
      </font>
      <numFmt numFmtId="170" formatCode="#,##0.0"/>
    </dxf>
    <dxf>
      <font>
        <b/>
      </font>
      <numFmt numFmtId="170" formatCode="#,##0.0"/>
    </dxf>
    <dxf>
      <font>
        <b/>
      </font>
      <numFmt numFmtId="170" formatCode="#,##0.0"/>
    </dxf>
    <dxf>
      <font>
        <b/>
      </font>
    </dxf>
    <dxf>
      <font>
        <b/>
      </font>
    </dxf>
    <dxf>
      <font>
        <b/>
      </font>
    </dxf>
    <dxf>
      <numFmt numFmtId="166" formatCode="0.0%"/>
    </dxf>
    <dxf>
      <numFmt numFmtId="166" formatCode="0.0%"/>
    </dxf>
    <dxf>
      <font>
        <b/>
      </font>
      <numFmt numFmtId="170" formatCode="#,##0.0"/>
    </dxf>
    <dxf>
      <font>
        <b/>
      </font>
      <numFmt numFmtId="170" formatCode="#,##0.0"/>
    </dxf>
    <dxf>
      <fill>
        <patternFill patternType="solid">
          <bgColor indexed="13"/>
        </patternFill>
      </fill>
    </dxf>
    <dxf>
      <fill>
        <patternFill patternType="solid">
          <bgColor indexed="13"/>
        </patternFill>
      </fill>
    </dxf>
    <dxf>
      <fill>
        <patternFill patternType="none"/>
      </fill>
    </dxf>
    <dxf>
      <fill>
        <patternFill patternType="none"/>
      </fill>
    </dxf>
    <dxf>
      <fill>
        <patternFill patternType="solid">
          <bgColor indexed="13"/>
        </patternFill>
      </fill>
    </dxf>
    <dxf>
      <fill>
        <patternFill patternType="solid">
          <bgColor indexed="13"/>
        </patternFill>
      </fill>
    </dxf>
    <dxf>
      <font>
        <b/>
      </font>
      <numFmt numFmtId="167" formatCode="0.0"/>
    </dxf>
    <dxf>
      <fill>
        <patternFill patternType="solid">
          <bgColor indexed="13"/>
        </patternFill>
      </fill>
    </dxf>
    <dxf>
      <fill>
        <patternFill patternType="solid">
          <bgColor indexed="13"/>
        </patternFill>
      </fill>
    </dxf>
    <dxf>
      <font>
        <b/>
      </font>
    </dxf>
    <dxf>
      <fill>
        <patternFill patternType="solid">
          <bgColor indexed="13"/>
        </patternFill>
      </fill>
    </dxf>
    <dxf>
      <fill>
        <patternFill patternType="solid">
          <bgColor indexed="13"/>
        </patternFill>
      </fill>
    </dxf>
    <dxf>
      <font>
        <b/>
      </font>
    </dxf>
    <dxf>
      <font>
        <b/>
      </font>
    </dxf>
    <dxf>
      <font>
        <b/>
      </font>
    </dxf>
    <dxf>
      <font>
        <b/>
      </font>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68" formatCode="_(* #,##0.0_);_(* \(#,##0.0\);_(* &quot;-&quot;??_);_(@_)"/>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numFmt numFmtId="166" formatCode="0.0%"/>
    </dxf>
    <dxf>
      <numFmt numFmtId="166" formatCode="0.0%"/>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numFmt numFmtId="166" formatCode="0.0%"/>
    </dxf>
    <dxf>
      <border>
        <left style="thin">
          <color indexed="64"/>
        </left>
        <bottom style="thin">
          <color indexed="64"/>
        </bottom>
      </border>
    </dxf>
    <dxf>
      <border>
        <right style="thin">
          <color indexed="64"/>
        </right>
        <bottom style="thin">
          <color indexed="64"/>
        </bottom>
      </border>
    </dxf>
    <dxf>
      <border>
        <left style="thin">
          <color indexed="64"/>
        </left>
        <right style="thin">
          <color indexed="64"/>
        </right>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6" formatCode="0.0%"/>
    </dxf>
    <dxf>
      <border>
        <left style="thin">
          <color indexed="64"/>
        </left>
        <right style="thin">
          <color indexed="64"/>
        </right>
        <top style="thin">
          <color indexed="64"/>
        </top>
        <bottom style="thin">
          <color indexed="64"/>
        </bottom>
      </border>
    </dxf>
    <dxf>
      <numFmt numFmtId="166" formatCode="0.0%"/>
    </dxf>
    <dxf>
      <border>
        <left style="thin">
          <color indexed="64"/>
        </left>
        <right style="thin">
          <color indexed="64"/>
        </right>
        <top style="thin">
          <color indexed="64"/>
        </top>
        <bottom style="thin">
          <color indexed="64"/>
        </bottom>
      </border>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numFmt numFmtId="14" formatCode="0.00%"/>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border>
    </dxf>
    <dxf>
      <border>
        <bottom style="thin">
          <color indexed="64"/>
        </bottom>
      </border>
    </dxf>
    <dxf>
      <border>
        <bottom style="thin">
          <color indexed="64"/>
        </bottom>
      </border>
    </dxf>
    <dxf>
      <numFmt numFmtId="166" formatCode="0.0%"/>
    </dxf>
    <dxf>
      <numFmt numFmtId="166" formatCode="0.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bottom style="thin">
          <color indexed="64"/>
        </bottom>
      </border>
    </dxf>
    <dxf>
      <border>
        <bottom style="thin">
          <color indexed="64"/>
        </bottom>
      </border>
    </dxf>
    <dxf>
      <numFmt numFmtId="166" formatCode="0.0%"/>
    </dxf>
    <dxf>
      <fill>
        <patternFill patternType="solid">
          <bgColor indexed="43"/>
        </patternFill>
      </fill>
    </dxf>
    <dxf>
      <border>
        <bottom style="thin">
          <color indexed="8"/>
        </bottom>
      </border>
    </dxf>
    <dxf>
      <border>
        <bottom style="thin">
          <color indexed="8"/>
        </bottom>
      </border>
    </dxf>
    <dxf>
      <border>
        <bottom style="thin">
          <color indexed="8"/>
        </bottom>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medium">
          <color indexed="64"/>
        </left>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73" formatCode="0.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73" formatCode="0.000%"/>
    </dxf>
    <dxf>
      <numFmt numFmtId="14" formatCode="0.00%"/>
    </dxf>
    <dxf>
      <numFmt numFmtId="14" formatCode="0.00%"/>
    </dxf>
    <dxf>
      <numFmt numFmtId="166" formatCode="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4" formatCode="0.00%"/>
    </dxf>
    <dxf>
      <numFmt numFmtId="173" formatCode="0.000%"/>
    </dxf>
    <dxf>
      <numFmt numFmtId="173" formatCode="0.000%"/>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numFmt numFmtId="173" formatCode="0.000%"/>
    </dxf>
    <dxf>
      <numFmt numFmtId="14" formatCode="0.00%"/>
    </dxf>
    <dxf>
      <numFmt numFmtId="173" formatCode="0.000%"/>
    </dxf>
    <dxf>
      <numFmt numFmtId="14" formatCode="0.00%"/>
    </dxf>
    <dxf>
      <font>
        <b/>
      </font>
    </dxf>
    <dxf>
      <font>
        <b/>
      </font>
    </dxf>
    <dxf>
      <font>
        <b/>
      </font>
    </dxf>
    <dxf>
      <font>
        <b/>
      </font>
    </dxf>
    <dxf>
      <font>
        <b/>
      </font>
    </dxf>
    <dxf>
      <font>
        <b/>
      </font>
    </dxf>
    <dxf>
      <font>
        <b/>
      </font>
    </dxf>
    <dxf>
      <font>
        <b/>
      </font>
    </dxf>
    <dxf>
      <font>
        <b/>
      </font>
    </dxf>
    <dxf>
      <font>
        <b/>
      </font>
    </dxf>
    <dxf>
      <font>
        <b/>
      </font>
    </dxf>
    <dxf>
      <font>
        <b/>
      </font>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font>
        <b/>
      </font>
      <numFmt numFmtId="170" formatCode="#,##0.0"/>
    </dxf>
    <dxf>
      <numFmt numFmtId="170" formatCode="#,##0.0"/>
    </dxf>
    <dxf>
      <border>
        <left style="medium">
          <color indexed="64"/>
        </left>
        <right style="medium">
          <color indexed="64"/>
        </right>
      </border>
    </dxf>
    <dxf>
      <numFmt numFmtId="173" formatCode="0.000%"/>
    </dxf>
    <dxf>
      <border>
        <bottom style="thin">
          <color indexed="64"/>
        </bottom>
      </border>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font>
        <b/>
      </font>
      <alignment horizontal="right" readingOrder="0"/>
    </dxf>
    <dxf>
      <alignment horizontal="right" readingOrder="0"/>
    </dxf>
    <dxf>
      <border>
        <bottom style="thin">
          <color indexed="64"/>
        </bottom>
      </border>
    </dxf>
    <dxf>
      <border>
        <top/>
      </border>
    </dxf>
    <dxf>
      <fill>
        <patternFill patternType="none"/>
      </fill>
    </dxf>
    <dxf>
      <fill>
        <patternFill patternType="solid">
          <bgColor indexed="43"/>
        </patternFill>
      </fill>
    </dxf>
    <dxf>
      <fill>
        <patternFill patternType="solid">
          <bgColor indexed="51"/>
        </patternFill>
      </fill>
    </dxf>
    <dxf>
      <fill>
        <patternFill patternType="solid">
          <bgColor indexed="45"/>
        </patternFill>
      </fill>
    </dxf>
    <dxf>
      <fill>
        <patternFill patternType="solid">
          <bgColor indexed="47"/>
        </patternFill>
      </fill>
    </dxf>
    <dxf>
      <font>
        <b val="0"/>
      </font>
    </dxf>
    <dxf>
      <font>
        <b val="0"/>
      </font>
    </dxf>
    <dxf>
      <font>
        <b val="0"/>
      </font>
    </dxf>
    <dxf>
      <font>
        <b val="0"/>
      </font>
    </dxf>
    <dxf>
      <font>
        <b val="0"/>
      </font>
    </dxf>
    <dxf>
      <border>
        <top style="thin">
          <color indexed="8"/>
        </top>
        <bottom/>
      </border>
    </dxf>
    <dxf>
      <font>
        <b/>
      </font>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66" formatCode="0.0%"/>
    </dxf>
    <dxf>
      <numFmt numFmtId="13" formatCode="0%"/>
    </dxf>
    <dxf>
      <numFmt numFmtId="13" formatCode="0%"/>
    </dxf>
    <dxf>
      <numFmt numFmtId="13" formatCode="0%"/>
    </dxf>
    <dxf>
      <font>
        <condense val="0"/>
        <extend val="0"/>
        <color indexed="10"/>
      </font>
    </dxf>
    <dxf>
      <font>
        <condense val="0"/>
        <extend val="0"/>
        <color indexed="10"/>
      </font>
    </dxf>
  </dxfs>
  <tableStyles count="0" defaultTableStyle="TableStyleMedium9" defaultPivotStyle="PivotStyleLight16"/>
  <colors>
    <mruColors>
      <color rgb="FF006600"/>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marks" refreshedDate="40941.498063425926" createdVersion="3" refreshedVersion="3" minRefreshableVersion="3" recordCount="675">
  <cacheSource type="worksheet">
    <worksheetSource ref="A6:AG6" sheet="E-learning credit hours"/>
  </cacheSource>
  <cacheFields count="74">
    <cacheField name="State" numFmtId="49">
      <sharedItems count="16">
        <s v="AL"/>
        <s v="AR"/>
        <s v="DE"/>
        <s v="FL"/>
        <s v="GA"/>
        <s v="KY"/>
        <s v="LA"/>
        <s v="MD"/>
        <s v="MS"/>
        <s v="NC"/>
        <s v="OK"/>
        <s v="SC"/>
        <s v="TN"/>
        <s v="TX"/>
        <s v="VA"/>
        <s v="WV"/>
      </sharedItems>
    </cacheField>
    <cacheField name="Institution" numFmtId="0">
      <sharedItems/>
    </cacheField>
    <cacheField name="Note" numFmtId="0">
      <sharedItems containsBlank="1"/>
    </cacheField>
    <cacheField name="ID" numFmtId="0">
      <sharedItems containsBlank="1" containsMixedTypes="1" containsNumber="1" containsInteger="1" minValue="100654" maxValue="456560"/>
    </cacheField>
    <cacheField name="type" numFmtId="0">
      <sharedItems containsSemiMixedTypes="0" containsString="0" containsNumber="1" containsInteger="1" minValue="1" maxValue="99" count="16">
        <n v="1"/>
        <n v="2"/>
        <n v="3"/>
        <n v="4"/>
        <n v="5"/>
        <n v="6"/>
        <n v="8"/>
        <n v="9"/>
        <n v="10"/>
        <n v="12"/>
        <n v="13"/>
        <n v="7"/>
        <n v="99"/>
        <n v="15"/>
        <n v="14" u="1"/>
        <n v="16" u="1"/>
      </sharedItems>
      <fieldGroup par="33"/>
    </cacheField>
    <cacheField name="OLD-Tot UG SCH Calc" numFmtId="3">
      <sharedItems containsString="0" containsBlank="1" containsNumber="1" minValue="0" maxValue="1463404"/>
    </cacheField>
    <cacheField name="NEW-Tot UG SCH Calc" numFmtId="3">
      <sharedItems containsString="0" containsBlank="1" containsNumber="1" minValue="0" maxValue="1571735"/>
    </cacheField>
    <cacheField name="Old-UG OnC Trad" numFmtId="0">
      <sharedItems containsString="0" containsBlank="1" containsNumber="1" minValue="0" maxValue="1341835"/>
    </cacheField>
    <cacheField name="New-UG OnC Trad" numFmtId="0">
      <sharedItems containsString="0" containsBlank="1" containsNumber="1" minValue="0" maxValue="1423962"/>
    </cacheField>
    <cacheField name="Old-UG OffC Trad" numFmtId="0">
      <sharedItems containsBlank="1" containsMixedTypes="1" containsNumber="1" containsInteger="1" minValue="0" maxValue="270782"/>
    </cacheField>
    <cacheField name="New-UG OffC Trad" numFmtId="0">
      <sharedItems containsString="0" containsBlank="1" containsNumber="1" minValue="0" maxValue="273747"/>
    </cacheField>
    <cacheField name="Old-UG EL Web" numFmtId="0">
      <sharedItems containsString="0" containsBlank="1" containsNumber="1" minValue="0" maxValue="328772"/>
    </cacheField>
    <cacheField name="Old-UG EL CV" numFmtId="0">
      <sharedItems containsBlank="1" containsMixedTypes="1" containsNumber="1" containsInteger="1" minValue="0" maxValue="56992"/>
    </cacheField>
    <cacheField name="Old-UG EL O" numFmtId="0">
      <sharedItems containsBlank="1" containsMixedTypes="1" containsNumber="1" containsInteger="1" minValue="0" maxValue="166889"/>
    </cacheField>
    <cacheField name="New-UG EL Web" numFmtId="0">
      <sharedItems containsString="0" containsBlank="1" containsNumber="1" minValue="0" maxValue="365434"/>
    </cacheField>
    <cacheField name="New-UG EL CV" numFmtId="0">
      <sharedItems containsBlank="1" containsMixedTypes="1" containsNumber="1" containsInteger="1" minValue="0" maxValue="34806"/>
    </cacheField>
    <cacheField name="New-UG EL O" numFmtId="0">
      <sharedItems containsString="0" containsBlank="1" containsNumber="1" containsInteger="1" minValue="0" maxValue="155687"/>
    </cacheField>
    <cacheField name="Old-UG Cor" numFmtId="0">
      <sharedItems containsString="0" containsBlank="1" containsNumber="1" containsInteger="1" minValue="0" maxValue="12146"/>
    </cacheField>
    <cacheField name="New-UG Cor" numFmtId="0">
      <sharedItems containsString="0" containsBlank="1" containsNumber="1" containsInteger="1" minValue="0" maxValue="15618"/>
    </cacheField>
    <cacheField name="Old-Tot G SCH Calc" numFmtId="3">
      <sharedItems containsString="0" containsBlank="1" containsNumber="1" minValue="0" maxValue="357375"/>
    </cacheField>
    <cacheField name="New-Tot G SCH Calc" numFmtId="3">
      <sharedItems containsString="0" containsBlank="1" containsNumber="1" minValue="0" maxValue="357500"/>
    </cacheField>
    <cacheField name="Old-G OnC Trad" numFmtId="0">
      <sharedItems containsString="0" containsBlank="1" containsNumber="1" minValue="0" maxValue="289789"/>
    </cacheField>
    <cacheField name="New-G OnC Trad" numFmtId="0">
      <sharedItems containsString="0" containsBlank="1" containsNumber="1" minValue="0" maxValue="268094"/>
    </cacheField>
    <cacheField name="Old-G OffC Trad" numFmtId="0">
      <sharedItems containsString="0" containsBlank="1" containsNumber="1" minValue="0" maxValue="40412"/>
    </cacheField>
    <cacheField name="New-G OffC Trad" numFmtId="0">
      <sharedItems containsString="0" containsBlank="1" containsNumber="1" minValue="0" maxValue="35031"/>
    </cacheField>
    <cacheField name="Old-G EL Web" numFmtId="0">
      <sharedItems containsString="0" containsBlank="1" containsNumber="1" containsInteger="1" minValue="0" maxValue="154415"/>
    </cacheField>
    <cacheField name="Old-G EL CV" numFmtId="0">
      <sharedItems containsString="0" containsBlank="1" containsNumber="1" containsInteger="1" minValue="0" maxValue="3339"/>
    </cacheField>
    <cacheField name="Old-G EL O" numFmtId="0">
      <sharedItems containsString="0" containsBlank="1" containsNumber="1" containsInteger="1" minValue="0" maxValue="78549"/>
    </cacheField>
    <cacheField name="New-G EL Web" numFmtId="0">
      <sharedItems containsString="0" containsBlank="1" containsNumber="1" minValue="0" maxValue="173875"/>
    </cacheField>
    <cacheField name="New-G EL CV" numFmtId="0">
      <sharedItems containsString="0" containsBlank="1" containsNumber="1" minValue="0" maxValue="11811"/>
    </cacheField>
    <cacheField name="New-G EL O" numFmtId="0">
      <sharedItems containsString="0" containsBlank="1" containsNumber="1" containsInteger="1" minValue="0" maxValue="46428"/>
    </cacheField>
    <cacheField name="Old-G Cor" numFmtId="0">
      <sharedItems containsString="0" containsBlank="1" containsNumber="1" containsInteger="1" minValue="3" maxValue="5852"/>
    </cacheField>
    <cacheField name="New-G Cor" numFmtId="0">
      <sharedItems containsString="0" containsBlank="1" containsNumber="1" containsInteger="1" minValue="0" maxValue="5639"/>
    </cacheField>
    <cacheField name="Type2" numFmtId="0" databaseField="0">
      <fieldGroup base="4">
        <discretePr count="16">
          <x v="2"/>
          <x v="2"/>
          <x v="2"/>
          <x v="2"/>
          <x v="2"/>
          <x v="2"/>
          <x v="1"/>
          <x v="1"/>
          <x v="1"/>
          <x v="3"/>
          <x v="3"/>
          <x v="1"/>
          <x v="4"/>
          <x v="2"/>
          <x v="3"/>
          <x v="0"/>
        </discretePr>
        <groupItems count="5">
          <n v="16"/>
          <s v="Group2"/>
          <s v="Group1"/>
          <s v="Group3"/>
          <n v="99"/>
        </groupItems>
      </fieldGroup>
    </cacheField>
    <cacheField name="Old %UG OnC Trad" numFmtId="0" formula="IF('OLD-Tot UG SCH Calc'&gt;0,'Old-UG OnC Trad'/'OLD-Tot UG SCH Calc',)" databaseField="0"/>
    <cacheField name="New %UG OnC Trad" numFmtId="0" formula="IF('NEW-Tot UG SCH Calc'&gt;0,'New-UG OnC Trad'/'NEW-Tot UG SCH Calc',)" databaseField="0"/>
    <cacheField name="New %UG OffC Trad" numFmtId="0" formula="IF('NEW-Tot UG SCH Calc'&gt;0,'New-UG OffC Trad'/'NEW-Tot UG SCH Calc',)" databaseField="0"/>
    <cacheField name="Old %UG OffC Trad" numFmtId="0" formula="IF('OLD-Tot UG SCH Calc'&gt;0,'Old-UG OffC Trad'/'OLD-Tot UG SCH Calc',)" databaseField="0"/>
    <cacheField name="Old %G OffC Trad" numFmtId="0" formula="IF('Old-Tot G SCH Calc'&gt;0,'Old-G OffC Trad'/'Old-Tot G SCH Calc',)" databaseField="0"/>
    <cacheField name="Old %G OnC Trad" numFmtId="0" formula="IF('Old-Tot G SCH Calc'&gt;0,'Old-G OnC Trad'/'Old-Tot G SCH Calc',)" databaseField="0"/>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isa Cowan" refreshedDate="41277.523282523151" createdVersion="4" refreshedVersion="4" minRefreshableVersion="3" recordCount="561">
  <cacheSource type="worksheet">
    <worksheetSource ref="A6:AG567" sheet="E-learning credit hours"/>
  </cacheSource>
  <cacheFields count="74">
    <cacheField name="State" numFmtId="49">
      <sharedItems count="17">
        <s v="AL"/>
        <s v="AR"/>
        <s v="DE"/>
        <s v="FL"/>
        <s v="GA"/>
        <s v="KY"/>
        <s v="LA"/>
        <s v="MD"/>
        <s v="MS"/>
        <s v="NC"/>
        <s v="OK"/>
        <s v="SC"/>
        <s v="TN"/>
        <s v="TX"/>
        <s v="VA"/>
        <s v="WV"/>
        <s v="GA " u="1"/>
      </sharedItems>
    </cacheField>
    <cacheField name="Institution" numFmtId="0">
      <sharedItems containsBlank="1"/>
    </cacheField>
    <cacheField name="Note" numFmtId="0">
      <sharedItems containsBlank="1"/>
    </cacheField>
    <cacheField name="ID" numFmtId="0">
      <sharedItems containsBlank="1" containsMixedTypes="1" containsNumber="1" containsInteger="1" minValue="100654" maxValue="447582"/>
    </cacheField>
    <cacheField name="type" numFmtId="0">
      <sharedItems containsSemiMixedTypes="0" containsString="0" containsNumber="1" containsInteger="1" minValue="1" maxValue="99" count="16">
        <n v="1"/>
        <n v="2"/>
        <n v="3"/>
        <n v="4"/>
        <n v="5"/>
        <n v="6"/>
        <n v="8"/>
        <n v="9"/>
        <n v="10"/>
        <n v="12"/>
        <n v="13"/>
        <n v="7"/>
        <n v="15"/>
        <n v="99"/>
        <n v="14" u="1"/>
        <n v="16" u="1"/>
      </sharedItems>
      <fieldGroup par="33"/>
    </cacheField>
    <cacheField name="OLD-Tot UG SCH Calc" numFmtId="3">
      <sharedItems containsString="0" containsBlank="1" containsNumber="1" minValue="0" maxValue="1571735"/>
    </cacheField>
    <cacheField name="NEW-Tot UG SCH Calc" numFmtId="3">
      <sharedItems containsString="0" containsBlank="1" containsNumber="1" minValue="0" maxValue="1654124"/>
    </cacheField>
    <cacheField name="Old-UG OnC Trad" numFmtId="0">
      <sharedItems containsString="0" containsBlank="1" containsNumber="1" minValue="0" maxValue="1423962"/>
    </cacheField>
    <cacheField name="New-UG OnC Trad" numFmtId="0">
      <sharedItems containsString="0" containsBlank="1" containsNumber="1" minValue="0" maxValue="1203140"/>
    </cacheField>
    <cacheField name="Old-UG OffC Trad" numFmtId="0">
      <sharedItems containsString="0" containsBlank="1" containsNumber="1" minValue="0" maxValue="273747"/>
    </cacheField>
    <cacheField name="New-UG OffC Trad" numFmtId="0">
      <sharedItems containsString="0" containsBlank="1" containsNumber="1" minValue="0" maxValue="242139"/>
    </cacheField>
    <cacheField name="Old-UG EL Web" numFmtId="3">
      <sharedItems containsString="0" containsBlank="1" containsNumber="1" minValue="0" maxValue="365434"/>
    </cacheField>
    <cacheField name="Old-UG EL CV" numFmtId="3">
      <sharedItems containsBlank="1" containsMixedTypes="1" containsNumber="1" minValue="0" maxValue="34806"/>
    </cacheField>
    <cacheField name="Old-UG EL O" numFmtId="3">
      <sharedItems containsString="0" containsBlank="1" containsNumber="1" containsInteger="1" minValue="0" maxValue="155687"/>
    </cacheField>
    <cacheField name="New-UG EL Web" numFmtId="3">
      <sharedItems containsString="0" containsBlank="1" containsNumber="1" minValue="0" maxValue="425286"/>
    </cacheField>
    <cacheField name="New-UG EL CV" numFmtId="3">
      <sharedItems containsString="0" containsBlank="1" containsNumber="1" minValue="0" maxValue="32683"/>
    </cacheField>
    <cacheField name="New-UG EL O" numFmtId="3">
      <sharedItems containsString="0" containsBlank="1" containsNumber="1" containsInteger="1" minValue="0" maxValue="284541"/>
    </cacheField>
    <cacheField name="Old-UG Cor" numFmtId="3">
      <sharedItems containsString="0" containsBlank="1" containsNumber="1" containsInteger="1" minValue="0" maxValue="15618"/>
    </cacheField>
    <cacheField name="New-UG Cor" numFmtId="0">
      <sharedItems containsString="0" containsBlank="1" containsNumber="1" minValue="0" maxValue="9684"/>
    </cacheField>
    <cacheField name="Old-Tot G SCH Calc" numFmtId="3">
      <sharedItems containsString="0" containsBlank="1" containsNumber="1" minValue="0" maxValue="357500"/>
    </cacheField>
    <cacheField name="New-Tot G SCH Calc" numFmtId="3">
      <sharedItems containsString="0" containsBlank="1" containsNumber="1" minValue="0" maxValue="317112"/>
    </cacheField>
    <cacheField name="Old-G OnC Trad" numFmtId="3">
      <sharedItems containsString="0" containsBlank="1" containsNumber="1" minValue="0" maxValue="268094"/>
    </cacheField>
    <cacheField name="New-G OnC Trad" numFmtId="0">
      <sharedItems containsString="0" containsBlank="1" containsNumber="1" minValue="0" maxValue="268587"/>
    </cacheField>
    <cacheField name="Old-G OffC Trad" numFmtId="3">
      <sharedItems containsString="0" containsBlank="1" containsNumber="1" minValue="0" maxValue="35031"/>
    </cacheField>
    <cacheField name="New-G OffC Trad" numFmtId="0">
      <sharedItems containsString="0" containsBlank="1" containsNumber="1" minValue="0" maxValue="37212"/>
    </cacheField>
    <cacheField name="Old-G EL Web" numFmtId="3">
      <sharedItems containsString="0" containsBlank="1" containsNumber="1" minValue="0" maxValue="173875"/>
    </cacheField>
    <cacheField name="Old-G EL CV" numFmtId="3">
      <sharedItems containsString="0" containsBlank="1" containsNumber="1" minValue="0" maxValue="11811"/>
    </cacheField>
    <cacheField name="Old-G EL O" numFmtId="3">
      <sharedItems containsString="0" containsBlank="1" containsNumber="1" containsInteger="1" minValue="0" maxValue="46428"/>
    </cacheField>
    <cacheField name="New-G EL Web" numFmtId="0">
      <sharedItems containsString="0" containsBlank="1" containsNumber="1" minValue="0" maxValue="189917"/>
    </cacheField>
    <cacheField name="New-G EL CV" numFmtId="0">
      <sharedItems containsString="0" containsBlank="1" containsNumber="1" containsInteger="1" minValue="0" maxValue="11505"/>
    </cacheField>
    <cacheField name="New-G EL O" numFmtId="0">
      <sharedItems containsString="0" containsBlank="1" containsNumber="1" minValue="0" maxValue="9024"/>
    </cacheField>
    <cacheField name="Old-G Cor" numFmtId="0">
      <sharedItems containsString="0" containsBlank="1" containsNumber="1" containsInteger="1" minValue="0" maxValue="5639"/>
    </cacheField>
    <cacheField name="New-G Cor" numFmtId="0">
      <sharedItems containsString="0" containsBlank="1" containsNumber="1" containsInteger="1" minValue="0" maxValue="6327"/>
    </cacheField>
    <cacheField name="Type2" numFmtId="0" databaseField="0">
      <fieldGroup base="4">
        <discretePr count="16">
          <x v="2"/>
          <x v="2"/>
          <x v="2"/>
          <x v="2"/>
          <x v="2"/>
          <x v="2"/>
          <x v="1"/>
          <x v="1"/>
          <x v="1"/>
          <x v="3"/>
          <x v="3"/>
          <x v="1"/>
          <x v="2"/>
          <x v="4"/>
          <x v="3"/>
          <x v="0"/>
        </discretePr>
        <groupItems count="5">
          <n v="16"/>
          <s v="Group2"/>
          <s v="Group1"/>
          <s v="Group3"/>
          <n v="99"/>
        </groupItems>
      </fieldGroup>
    </cacheField>
    <cacheField name="Old %UG OnC Trad" numFmtId="0" formula="IF('OLD-Tot UG SCH Calc'&gt;0,'Old-UG OnC Trad'/'OLD-Tot UG SCH Calc',)" databaseField="0"/>
    <cacheField name="New %UG OnC Trad" numFmtId="0" formula="IF('NEW-Tot UG SCH Calc'&gt;0,'New-UG OnC Trad'/'NEW-Tot UG SCH Calc',)" databaseField="0"/>
    <cacheField name="New %UG OffC Trad" numFmtId="0" formula="IF('NEW-Tot UG SCH Calc'&gt;0,'New-UG OffC Trad'/'NEW-Tot UG SCH Calc',)" databaseField="0"/>
    <cacheField name="Old %UG OffC Trad" numFmtId="0" formula="IF('OLD-Tot UG SCH Calc'&gt;0,'Old-UG OffC Trad'/'OLD-Tot UG SCH Calc',)" databaseField="0"/>
    <cacheField name="Old %G OffC Trad" numFmtId="0" formula="IF('Old-Tot G SCH Calc'&gt;0,'Old-G OffC Trad'/'Old-Tot G SCH Calc',)" databaseField="0"/>
    <cacheField name="Old %G OnC Trad" numFmtId="0" formula="IF('Old-Tot G SCH Calc'&gt;0,'Old-G OnC Trad'/'Old-Tot G SCH Calc',)" databaseField="0"/>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5">
  <r>
    <x v="0"/>
    <s v="Auburn University"/>
    <m/>
    <n v="100858"/>
    <x v="0"/>
    <n v="574277"/>
    <n v="585421"/>
    <n v="569896"/>
    <n v="580096"/>
    <n v="116"/>
    <n v="0"/>
    <n v="2705"/>
    <m/>
    <n v="1560"/>
    <n v="1917"/>
    <m/>
    <n v="3408"/>
    <m/>
    <m/>
    <n v="66819"/>
    <n v="92318"/>
    <n v="56999"/>
    <n v="79913"/>
    <n v="170"/>
    <n v="1957"/>
    <n v="2666"/>
    <m/>
    <n v="6984"/>
    <n v="423"/>
    <m/>
    <n v="10025"/>
    <m/>
    <m/>
  </r>
  <r>
    <x v="0"/>
    <s v="University of Alabama "/>
    <m/>
    <n v="100751"/>
    <x v="0"/>
    <n v="672971"/>
    <n v="701593"/>
    <n v="632701"/>
    <n v="661923"/>
    <n v="720"/>
    <n v="1606"/>
    <n v="38860"/>
    <n v="666"/>
    <m/>
    <n v="37563"/>
    <n v="477"/>
    <n v="24"/>
    <n v="24"/>
    <n v="0"/>
    <n v="91700"/>
    <n v="96154"/>
    <n v="72378"/>
    <n v="79946"/>
    <n v="5333"/>
    <n v="4819"/>
    <n v="13317"/>
    <n v="669"/>
    <m/>
    <n v="11034"/>
    <n v="334"/>
    <n v="21"/>
    <n v="3"/>
    <n v="0"/>
  </r>
  <r>
    <x v="0"/>
    <s v="University of Alabama at Birmingham"/>
    <s v="Met the criteria for Four-Year 2 in 2010-11."/>
    <n v="100663"/>
    <x v="0"/>
    <n v="253515"/>
    <n v="262748"/>
    <n v="239256"/>
    <n v="239632"/>
    <n v="218"/>
    <n v="535"/>
    <n v="13990"/>
    <n v="51"/>
    <m/>
    <n v="22479"/>
    <n v="102"/>
    <m/>
    <m/>
    <m/>
    <n v="44582"/>
    <n v="46951"/>
    <n v="41301"/>
    <n v="42472"/>
    <n v="377"/>
    <n v="604"/>
    <n v="2739"/>
    <n v="165"/>
    <m/>
    <n v="3638"/>
    <n v="237"/>
    <m/>
    <m/>
    <m/>
  </r>
  <r>
    <x v="0"/>
    <s v="University of Alabama in Huntsville"/>
    <s v="Met the criteria for Four-Year 3 in 2010-11."/>
    <n v="100706"/>
    <x v="1"/>
    <n v="157888"/>
    <n v="161061"/>
    <n v="156797"/>
    <n v="159070"/>
    <m/>
    <m/>
    <n v="1091"/>
    <m/>
    <m/>
    <n v="1985"/>
    <n v="6"/>
    <m/>
    <m/>
    <m/>
    <n v="21141"/>
    <n v="21952"/>
    <n v="17831"/>
    <n v="18372"/>
    <m/>
    <m/>
    <n v="3295"/>
    <m/>
    <n v="15"/>
    <n v="3535"/>
    <n v="33"/>
    <n v="12"/>
    <m/>
    <m/>
  </r>
  <r>
    <x v="0"/>
    <s v="Alabama Agricultural &amp; Mechanical University"/>
    <m/>
    <n v="100654"/>
    <x v="2"/>
    <n v="134580"/>
    <n v="134715"/>
    <n v="134580"/>
    <n v="134715"/>
    <m/>
    <m/>
    <m/>
    <m/>
    <m/>
    <m/>
    <m/>
    <m/>
    <m/>
    <m/>
    <n v="15534"/>
    <n v="15386"/>
    <n v="15534"/>
    <n v="15386"/>
    <m/>
    <m/>
    <m/>
    <m/>
    <m/>
    <m/>
    <m/>
    <m/>
    <m/>
    <m/>
  </r>
  <r>
    <x v="0"/>
    <s v="Jacksonville State University "/>
    <m/>
    <n v="101480"/>
    <x v="2"/>
    <n v="199573"/>
    <n v="206841"/>
    <n v="161404"/>
    <n v="162876"/>
    <n v="4611"/>
    <n v="5247"/>
    <n v="32156"/>
    <n v="1402"/>
    <m/>
    <n v="36116"/>
    <n v="2602"/>
    <n v="0"/>
    <m/>
    <m/>
    <n v="25211"/>
    <n v="24856"/>
    <n v="15763"/>
    <n v="14225"/>
    <n v="96"/>
    <n v="0"/>
    <n v="9352"/>
    <m/>
    <m/>
    <n v="10631"/>
    <n v="0"/>
    <n v="0"/>
    <m/>
    <n v="0"/>
  </r>
  <r>
    <x v="0"/>
    <s v="Troy University"/>
    <m/>
    <n v="102368"/>
    <x v="2"/>
    <n v="331279"/>
    <n v="347685"/>
    <n v="238849"/>
    <n v="244083"/>
    <n v="4110"/>
    <n v="4091"/>
    <n v="84495"/>
    <n v="168"/>
    <n v="3615"/>
    <n v="96506"/>
    <n v="0"/>
    <n v="2999"/>
    <n v="42"/>
    <n v="6"/>
    <n v="46083"/>
    <n v="46658"/>
    <n v="29945"/>
    <n v="29257"/>
    <n v="1702"/>
    <n v="1140"/>
    <n v="10854"/>
    <n v="239"/>
    <n v="3343"/>
    <n v="12989"/>
    <n v="416"/>
    <n v="2856"/>
    <m/>
    <n v="0"/>
  </r>
  <r>
    <x v="0"/>
    <s v="University of South Alabama"/>
    <m/>
    <n v="102094"/>
    <x v="2"/>
    <n v="265603"/>
    <n v="272728"/>
    <n v="254116"/>
    <n v="252814"/>
    <n v="414"/>
    <n v="661"/>
    <n v="11073"/>
    <m/>
    <m/>
    <n v="19253"/>
    <m/>
    <m/>
    <m/>
    <m/>
    <n v="18777"/>
    <n v="18705"/>
    <n v="14431"/>
    <n v="13849"/>
    <m/>
    <n v="0"/>
    <n v="4346"/>
    <m/>
    <m/>
    <n v="4856"/>
    <m/>
    <m/>
    <m/>
    <m/>
  </r>
  <r>
    <x v="0"/>
    <s v="Alabama State University "/>
    <m/>
    <n v="100724"/>
    <x v="3"/>
    <n v="142331"/>
    <n v="156404"/>
    <n v="141530"/>
    <n v="156083"/>
    <m/>
    <n v="0"/>
    <n v="801"/>
    <m/>
    <m/>
    <n v="321"/>
    <m/>
    <m/>
    <m/>
    <m/>
    <n v="16880"/>
    <n v="16986"/>
    <n v="14046"/>
    <n v="15888"/>
    <n v="1106"/>
    <n v="369"/>
    <n v="1383"/>
    <n v="345"/>
    <m/>
    <n v="687"/>
    <n v="42"/>
    <m/>
    <m/>
    <m/>
  </r>
  <r>
    <x v="0"/>
    <s v="Auburn University at Montgomery"/>
    <m/>
    <n v="100830"/>
    <x v="3"/>
    <n v="117469"/>
    <n v="122351"/>
    <n v="109377"/>
    <n v="105024"/>
    <n v="2370"/>
    <n v="2402"/>
    <n v="5722"/>
    <m/>
    <m/>
    <n v="14925"/>
    <m/>
    <m/>
    <m/>
    <m/>
    <n v="13716.5"/>
    <n v="16088"/>
    <n v="11827.5"/>
    <n v="11239"/>
    <n v="369"/>
    <n v="192"/>
    <n v="1520"/>
    <m/>
    <m/>
    <n v="4657"/>
    <m/>
    <m/>
    <m/>
    <m/>
  </r>
  <r>
    <x v="0"/>
    <s v="University of North Alabama"/>
    <m/>
    <n v="101879"/>
    <x v="3"/>
    <n v="153235"/>
    <n v="162883"/>
    <n v="132460"/>
    <n v="137854"/>
    <m/>
    <m/>
    <n v="20775"/>
    <m/>
    <m/>
    <n v="25029"/>
    <m/>
    <m/>
    <m/>
    <m/>
    <n v="16191"/>
    <n v="16055"/>
    <n v="9101"/>
    <n v="5288"/>
    <m/>
    <n v="5198"/>
    <n v="7090"/>
    <m/>
    <m/>
    <n v="5569"/>
    <m/>
    <m/>
    <m/>
    <m/>
  </r>
  <r>
    <x v="0"/>
    <s v="University of Montevallo"/>
    <m/>
    <n v="101709"/>
    <x v="4"/>
    <n v="73452"/>
    <n v="72994"/>
    <n v="73452"/>
    <n v="72049"/>
    <n v="0"/>
    <n v="219"/>
    <n v="0"/>
    <n v="0"/>
    <n v="0"/>
    <n v="726"/>
    <m/>
    <m/>
    <n v="0"/>
    <m/>
    <n v="8675"/>
    <n v="9559"/>
    <n v="8546"/>
    <n v="8706"/>
    <n v="129"/>
    <n v="462"/>
    <n v="0"/>
    <m/>
    <m/>
    <n v="391"/>
    <m/>
    <m/>
    <m/>
    <m/>
  </r>
  <r>
    <x v="0"/>
    <s v="University of West Alabama"/>
    <m/>
    <n v="101587"/>
    <x v="4"/>
    <n v="52099"/>
    <n v="50352"/>
    <n v="48536"/>
    <n v="46176"/>
    <n v="142"/>
    <n v="1108"/>
    <n v="3421"/>
    <m/>
    <m/>
    <n v="3068"/>
    <m/>
    <m/>
    <m/>
    <m/>
    <n v="86325"/>
    <n v="48336"/>
    <n v="42076"/>
    <n v="5619"/>
    <n v="93"/>
    <n v="186"/>
    <n v="44156"/>
    <m/>
    <m/>
    <n v="42531"/>
    <m/>
    <m/>
    <m/>
    <m/>
  </r>
  <r>
    <x v="0"/>
    <s v="Athens State University"/>
    <m/>
    <n v="100812"/>
    <x v="5"/>
    <n v="83699"/>
    <n v="89190"/>
    <n v="21333"/>
    <n v="22004"/>
    <n v="3807"/>
    <n v="4023"/>
    <n v="58559"/>
    <m/>
    <m/>
    <n v="63163"/>
    <m/>
    <m/>
    <m/>
    <m/>
    <n v="0"/>
    <n v="0"/>
    <m/>
    <m/>
    <m/>
    <m/>
    <m/>
    <m/>
    <m/>
    <m/>
    <m/>
    <m/>
    <m/>
    <m/>
  </r>
  <r>
    <x v="0"/>
    <s v="Jefferson State Community College"/>
    <m/>
    <n v="101505"/>
    <x v="6"/>
    <n v="179083"/>
    <n v="200118"/>
    <n v="125716"/>
    <n v="138726"/>
    <n v="20057"/>
    <n v="22704"/>
    <n v="31786"/>
    <n v="1524"/>
    <m/>
    <n v="36946"/>
    <n v="1742"/>
    <n v="0"/>
    <m/>
    <m/>
    <n v="0"/>
    <n v="0"/>
    <m/>
    <m/>
    <m/>
    <m/>
    <m/>
    <m/>
    <m/>
    <m/>
    <m/>
    <m/>
    <m/>
    <m/>
  </r>
  <r>
    <x v="0"/>
    <s v="John C. Calhoun State Community College "/>
    <m/>
    <n v="101514"/>
    <x v="6"/>
    <n v="220847"/>
    <n v="260777"/>
    <n v="192788"/>
    <n v="204487"/>
    <n v="4723"/>
    <n v="5767"/>
    <n v="22979"/>
    <m/>
    <n v="357"/>
    <n v="26187"/>
    <n v="0"/>
    <n v="24336"/>
    <n v="0"/>
    <m/>
    <n v="0"/>
    <n v="0"/>
    <m/>
    <m/>
    <m/>
    <m/>
    <m/>
    <m/>
    <m/>
    <m/>
    <m/>
    <m/>
    <m/>
    <m/>
  </r>
  <r>
    <x v="0"/>
    <s v="Bevill State Community College"/>
    <m/>
    <n v="102429"/>
    <x v="7"/>
    <n v="109772"/>
    <n v="121792"/>
    <n v="95577"/>
    <n v="34513"/>
    <n v="0"/>
    <n v="68105"/>
    <n v="9649"/>
    <n v="4375"/>
    <n v="0"/>
    <n v="13954"/>
    <n v="5220"/>
    <n v="0"/>
    <n v="171"/>
    <m/>
    <n v="0"/>
    <n v="0"/>
    <m/>
    <m/>
    <m/>
    <m/>
    <m/>
    <m/>
    <m/>
    <m/>
    <m/>
    <m/>
    <m/>
    <m/>
  </r>
  <r>
    <x v="0"/>
    <s v="Bishop State Community College"/>
    <m/>
    <n v="102030"/>
    <x v="7"/>
    <n v="76234"/>
    <n v="86410"/>
    <n v="64302"/>
    <n v="77376"/>
    <n v="5276"/>
    <n v="1819"/>
    <n v="6656"/>
    <n v="0"/>
    <s v=" "/>
    <n v="6411"/>
    <n v="0"/>
    <n v="804"/>
    <n v="0"/>
    <m/>
    <n v="0"/>
    <n v="0"/>
    <m/>
    <m/>
    <m/>
    <m/>
    <m/>
    <m/>
    <m/>
    <m/>
    <m/>
    <m/>
    <m/>
    <m/>
  </r>
  <r>
    <x v="0"/>
    <s v="Gadsden State Community College"/>
    <s v="Met criteria for Two-Year 1 in 2009-10 and 2010-11."/>
    <n v="101240"/>
    <x v="7"/>
    <n v="168603"/>
    <n v="182660"/>
    <n v="145036"/>
    <n v="755"/>
    <n v="0"/>
    <n v="145519"/>
    <n v="21840"/>
    <n v="293"/>
    <n v="1434"/>
    <n v="36200"/>
    <n v="120"/>
    <n v="66"/>
    <m/>
    <m/>
    <n v="0"/>
    <n v="0"/>
    <m/>
    <m/>
    <m/>
    <m/>
    <m/>
    <m/>
    <m/>
    <m/>
    <m/>
    <m/>
    <m/>
    <m/>
  </r>
  <r>
    <x v="0"/>
    <s v="George C. Wallace State Community College - Dothan"/>
    <m/>
    <n v="101286"/>
    <x v="7"/>
    <n v="113680"/>
    <n v="126601"/>
    <n v="100794"/>
    <n v="86556"/>
    <m/>
    <n v="19383"/>
    <n v="12886"/>
    <m/>
    <m/>
    <n v="20662"/>
    <n v="0"/>
    <n v="0"/>
    <m/>
    <m/>
    <n v="0"/>
    <n v="0"/>
    <m/>
    <m/>
    <m/>
    <m/>
    <m/>
    <m/>
    <m/>
    <m/>
    <m/>
    <m/>
    <m/>
    <m/>
  </r>
  <r>
    <x v="0"/>
    <s v="James H. Faulkner State Community College"/>
    <m/>
    <n v="101161"/>
    <x v="7"/>
    <n v="104705"/>
    <n v="118631"/>
    <n v="87175"/>
    <n v="53429"/>
    <m/>
    <n v="36131"/>
    <n v="17530"/>
    <n v="0"/>
    <n v="0"/>
    <n v="20440"/>
    <n v="0"/>
    <n v="8631"/>
    <n v="0"/>
    <m/>
    <n v="0"/>
    <n v="0"/>
    <m/>
    <m/>
    <m/>
    <m/>
    <m/>
    <m/>
    <m/>
    <m/>
    <m/>
    <m/>
    <m/>
    <m/>
  </r>
  <r>
    <x v="0"/>
    <s v="Lawson State Community College "/>
    <m/>
    <n v="101569"/>
    <x v="7"/>
    <n v="98638"/>
    <n v="116634"/>
    <n v="87788"/>
    <n v="101908"/>
    <n v="0"/>
    <n v="2948"/>
    <n v="10850"/>
    <n v="0"/>
    <n v="0"/>
    <n v="11762"/>
    <n v="0"/>
    <n v="16"/>
    <n v="0"/>
    <m/>
    <n v="0"/>
    <n v="0"/>
    <m/>
    <m/>
    <m/>
    <m/>
    <m/>
    <m/>
    <m/>
    <m/>
    <m/>
    <m/>
    <m/>
    <m/>
  </r>
  <r>
    <x v="0"/>
    <s v="Northwest-Shoals Community College"/>
    <m/>
    <n v="101736"/>
    <x v="7"/>
    <n v="97073"/>
    <n v="105919"/>
    <n v="80479"/>
    <n v="72232"/>
    <n v="6074"/>
    <n v="22230"/>
    <n v="9265"/>
    <n v="1255"/>
    <m/>
    <n v="7467"/>
    <n v="765"/>
    <n v="3225"/>
    <m/>
    <m/>
    <n v="0"/>
    <n v="0"/>
    <m/>
    <m/>
    <m/>
    <m/>
    <m/>
    <m/>
    <m/>
    <m/>
    <m/>
    <m/>
    <m/>
    <m/>
  </r>
  <r>
    <x v="0"/>
    <s v="Shelton State Community College"/>
    <s v="Met the criteria for Two-Year 1 in 2010-11."/>
    <n v="102067"/>
    <x v="7"/>
    <n v="143313"/>
    <n v="155348"/>
    <n v="137952"/>
    <n v="150719"/>
    <m/>
    <n v="170"/>
    <n v="5361"/>
    <m/>
    <m/>
    <n v="4459"/>
    <n v="0"/>
    <n v="0"/>
    <m/>
    <m/>
    <n v="0"/>
    <n v="0"/>
    <m/>
    <m/>
    <m/>
    <m/>
    <m/>
    <m/>
    <m/>
    <m/>
    <m/>
    <m/>
    <m/>
    <m/>
  </r>
  <r>
    <x v="0"/>
    <s v="Southern Union State Community College"/>
    <m/>
    <n v="251260"/>
    <x v="7"/>
    <n v="134492"/>
    <n v="133498"/>
    <n v="110679"/>
    <n v="15692"/>
    <n v="0"/>
    <n v="97219"/>
    <n v="12388"/>
    <n v="1278"/>
    <n v="6933"/>
    <n v="20449"/>
    <n v="138"/>
    <n v="0"/>
    <n v="3214"/>
    <m/>
    <n v="0"/>
    <n v="0"/>
    <m/>
    <m/>
    <m/>
    <m/>
    <m/>
    <m/>
    <m/>
    <m/>
    <m/>
    <m/>
    <m/>
    <m/>
  </r>
  <r>
    <x v="0"/>
    <s v="Wallace Community College - Hanceville"/>
    <s v="Met criteria for Two-Year 1 in 2009-10 and 2010-11."/>
    <n v="101295"/>
    <x v="7"/>
    <n v="157325"/>
    <n v="173062"/>
    <n v="129371"/>
    <n v="133878"/>
    <n v="3464"/>
    <n v="10663"/>
    <n v="23460"/>
    <n v="69"/>
    <n v="0"/>
    <n v="28437"/>
    <n v="0"/>
    <n v="84"/>
    <n v="961"/>
    <m/>
    <n v="0"/>
    <n v="0"/>
    <m/>
    <m/>
    <m/>
    <m/>
    <m/>
    <m/>
    <m/>
    <m/>
    <m/>
    <m/>
    <m/>
    <m/>
  </r>
  <r>
    <x v="0"/>
    <s v="Alabama Southern Community College"/>
    <m/>
    <n v="101949"/>
    <x v="8"/>
    <n v="36111"/>
    <n v="40476"/>
    <n v="34607"/>
    <n v="13590"/>
    <m/>
    <n v="25061"/>
    <n v="1504"/>
    <n v="0"/>
    <n v="0"/>
    <n v="1795"/>
    <n v="30"/>
    <n v="0"/>
    <n v="0"/>
    <m/>
    <n v="0"/>
    <n v="0"/>
    <m/>
    <m/>
    <m/>
    <m/>
    <n v="0"/>
    <m/>
    <m/>
    <m/>
    <m/>
    <m/>
    <m/>
    <m/>
  </r>
  <r>
    <x v="0"/>
    <s v="Central Alabama Community College"/>
    <s v="Met criteria for Two-Year 2 in 2009-10 and 2010-11."/>
    <n v="100760"/>
    <x v="8"/>
    <n v="61832"/>
    <n v="66449"/>
    <n v="52269"/>
    <n v="47181"/>
    <m/>
    <n v="7299"/>
    <n v="9563"/>
    <m/>
    <m/>
    <n v="11969"/>
    <n v="0"/>
    <n v="0"/>
    <m/>
    <m/>
    <n v="0"/>
    <n v="0"/>
    <m/>
    <m/>
    <m/>
    <m/>
    <m/>
    <m/>
    <m/>
    <m/>
    <m/>
    <m/>
    <m/>
    <m/>
  </r>
  <r>
    <x v="0"/>
    <s v="Chattahoochee Valley State Community College "/>
    <m/>
    <n v="101028"/>
    <x v="8"/>
    <n v="46069"/>
    <n v="43194"/>
    <n v="41426"/>
    <n v="38435"/>
    <m/>
    <n v="72"/>
    <n v="4643"/>
    <n v="0"/>
    <n v="0"/>
    <n v="4687"/>
    <n v="0"/>
    <n v="0"/>
    <m/>
    <m/>
    <n v="0"/>
    <n v="0"/>
    <m/>
    <m/>
    <m/>
    <m/>
    <m/>
    <m/>
    <m/>
    <m/>
    <m/>
    <m/>
    <m/>
    <m/>
  </r>
  <r>
    <x v="0"/>
    <s v="Enterprise-Ozark Community College"/>
    <s v="Met criteria for Two-Year 2 in 2009-10 and 2010-11."/>
    <n v="101143"/>
    <x v="8"/>
    <n v="72766"/>
    <n v="83509"/>
    <n v="63841"/>
    <n v="64010"/>
    <n v="2682"/>
    <n v="13473"/>
    <n v="6186"/>
    <m/>
    <n v="57"/>
    <n v="6026"/>
    <n v="0"/>
    <n v="0"/>
    <m/>
    <m/>
    <n v="0"/>
    <n v="0"/>
    <m/>
    <m/>
    <m/>
    <m/>
    <m/>
    <m/>
    <m/>
    <m/>
    <m/>
    <m/>
    <m/>
    <m/>
  </r>
  <r>
    <x v="0"/>
    <s v="George Corley Wallace State Community College - Selma"/>
    <m/>
    <n v="101301"/>
    <x v="8"/>
    <n v="51977"/>
    <n v="59867"/>
    <n v="34693"/>
    <n v="41098"/>
    <m/>
    <n v="0"/>
    <n v="17284"/>
    <m/>
    <m/>
    <n v="18769"/>
    <n v="0"/>
    <n v="0"/>
    <m/>
    <m/>
    <n v="0"/>
    <n v="0"/>
    <m/>
    <m/>
    <m/>
    <m/>
    <m/>
    <m/>
    <m/>
    <m/>
    <m/>
    <m/>
    <m/>
    <m/>
  </r>
  <r>
    <x v="0"/>
    <s v="Jefferson Davis Community College"/>
    <m/>
    <n v="101499"/>
    <x v="8"/>
    <n v="33239"/>
    <n v="35324"/>
    <n v="30063"/>
    <n v="15893"/>
    <n v="32"/>
    <n v="15180"/>
    <n v="3144"/>
    <m/>
    <m/>
    <n v="3925"/>
    <n v="0"/>
    <n v="326"/>
    <m/>
    <m/>
    <n v="0"/>
    <n v="0"/>
    <m/>
    <m/>
    <m/>
    <m/>
    <m/>
    <m/>
    <m/>
    <m/>
    <m/>
    <m/>
    <m/>
    <m/>
  </r>
  <r>
    <x v="0"/>
    <s v="Lurleen B. Wallace Community College "/>
    <m/>
    <n v="101602"/>
    <x v="8"/>
    <n v="45549"/>
    <n v="50595"/>
    <n v="35781"/>
    <n v="39334"/>
    <m/>
    <n v="1323"/>
    <n v="8047"/>
    <m/>
    <n v="1721"/>
    <n v="9551"/>
    <n v="0"/>
    <n v="387"/>
    <m/>
    <m/>
    <n v="0"/>
    <n v="0"/>
    <m/>
    <m/>
    <m/>
    <m/>
    <m/>
    <m/>
    <m/>
    <m/>
    <m/>
    <m/>
    <m/>
    <m/>
  </r>
  <r>
    <x v="0"/>
    <s v="Northeast Alabama State Community College "/>
    <s v="Reclassified: met the criteria for Two-Year 2 in 2008-09, 2009-10 and 2010-11."/>
    <n v="101897"/>
    <x v="7"/>
    <n v="77045"/>
    <n v="89336"/>
    <n v="57217"/>
    <n v="62932"/>
    <n v="3113"/>
    <n v="5581"/>
    <n v="16715"/>
    <m/>
    <m/>
    <n v="20823"/>
    <n v="0"/>
    <n v="0"/>
    <n v="0"/>
    <m/>
    <n v="0"/>
    <n v="0"/>
    <m/>
    <m/>
    <m/>
    <m/>
    <m/>
    <m/>
    <m/>
    <m/>
    <m/>
    <m/>
    <m/>
    <m/>
  </r>
  <r>
    <x v="0"/>
    <s v="Snead State Community College "/>
    <s v="Met the criteria for Two-Year 2 in 2010-11."/>
    <n v="102076"/>
    <x v="8"/>
    <n v="58109"/>
    <n v="63304"/>
    <n v="34616"/>
    <n v="35028"/>
    <n v="2313"/>
    <n v="2902"/>
    <n v="20853"/>
    <n v="327"/>
    <m/>
    <n v="24704"/>
    <n v="670"/>
    <n v="0"/>
    <m/>
    <m/>
    <n v="0"/>
    <n v="0"/>
    <m/>
    <m/>
    <m/>
    <m/>
    <m/>
    <m/>
    <m/>
    <m/>
    <m/>
    <m/>
    <m/>
    <m/>
  </r>
  <r>
    <x v="0"/>
    <s v="Trenholm State Technical College "/>
    <m/>
    <n v="102313"/>
    <x v="9"/>
    <n v="44426"/>
    <n v="49717"/>
    <n v="33661"/>
    <n v="20000"/>
    <n v="6214"/>
    <n v="25977"/>
    <n v="2560"/>
    <n v="0"/>
    <n v="1991"/>
    <n v="3740"/>
    <n v="0"/>
    <n v="0"/>
    <n v="0"/>
    <m/>
    <n v="0"/>
    <n v="0"/>
    <m/>
    <m/>
    <m/>
    <m/>
    <m/>
    <m/>
    <m/>
    <m/>
    <m/>
    <m/>
    <m/>
    <m/>
  </r>
  <r>
    <x v="0"/>
    <s v="J.F. Drake State Technical College "/>
    <s v="Met the criteria for Technical Institute 1 in 2010-11."/>
    <n v="101462"/>
    <x v="10"/>
    <n v="0"/>
    <n v="35342"/>
    <m/>
    <n v="29932"/>
    <m/>
    <n v="229"/>
    <m/>
    <m/>
    <m/>
    <n v="5181"/>
    <n v="0"/>
    <n v="0"/>
    <m/>
    <m/>
    <n v="0"/>
    <n v="0"/>
    <m/>
    <m/>
    <m/>
    <m/>
    <m/>
    <m/>
    <m/>
    <m/>
    <m/>
    <m/>
    <m/>
    <m/>
  </r>
  <r>
    <x v="0"/>
    <s v="J.F. Ingram State Technical College "/>
    <m/>
    <n v="101471"/>
    <x v="10"/>
    <n v="0"/>
    <n v="21172"/>
    <m/>
    <n v="6390"/>
    <m/>
    <n v="14782"/>
    <m/>
    <m/>
    <m/>
    <n v="0"/>
    <n v="0"/>
    <n v="0"/>
    <m/>
    <m/>
    <n v="0"/>
    <n v="0"/>
    <m/>
    <m/>
    <m/>
    <m/>
    <m/>
    <m/>
    <m/>
    <m/>
    <m/>
    <m/>
    <m/>
    <m/>
  </r>
  <r>
    <x v="0"/>
    <s v="Reid State Technical College "/>
    <m/>
    <n v="101994"/>
    <x v="10"/>
    <n v="20285"/>
    <n v="22821"/>
    <n v="20285"/>
    <n v="20039"/>
    <n v="0"/>
    <n v="1507"/>
    <n v="0"/>
    <n v="0"/>
    <n v="0"/>
    <n v="1275"/>
    <n v="0"/>
    <n v="0"/>
    <n v="0"/>
    <m/>
    <n v="0"/>
    <n v="0"/>
    <m/>
    <m/>
    <m/>
    <m/>
    <n v="0"/>
    <m/>
    <m/>
    <m/>
    <m/>
    <m/>
    <m/>
    <m/>
  </r>
  <r>
    <x v="1"/>
    <s v="University of Arkansas, Fayetteville"/>
    <m/>
    <n v="106397"/>
    <x v="0"/>
    <n v="440897"/>
    <n v="473313"/>
    <n v="421855"/>
    <n v="446738"/>
    <n v="9878"/>
    <n v="11466"/>
    <n v="8538"/>
    <n v="539"/>
    <n v="87"/>
    <n v="14325"/>
    <n v="604"/>
    <n v="180"/>
    <m/>
    <m/>
    <n v="72232"/>
    <n v="75584"/>
    <n v="56028"/>
    <n v="57001"/>
    <n v="3127"/>
    <n v="3516"/>
    <n v="10838"/>
    <n v="126"/>
    <n v="2113"/>
    <n v="11380"/>
    <n v="18"/>
    <n v="3669"/>
    <m/>
    <m/>
  </r>
  <r>
    <x v="1"/>
    <s v="Arkansas State University"/>
    <m/>
    <n v="106458"/>
    <x v="2"/>
    <n v="261694"/>
    <n v="271259"/>
    <n v="198522"/>
    <n v="193882"/>
    <n v="22250"/>
    <n v="25846"/>
    <n v="36133"/>
    <n v="4692"/>
    <n v="97"/>
    <n v="47081"/>
    <n v="4450"/>
    <n v="0"/>
    <m/>
    <m/>
    <n v="41660"/>
    <n v="69309"/>
    <n v="21519"/>
    <n v="23853"/>
    <n v="389"/>
    <n v="138"/>
    <n v="19461"/>
    <n v="189"/>
    <n v="102"/>
    <n v="44950"/>
    <n v="263"/>
    <n v="105"/>
    <m/>
    <m/>
  </r>
  <r>
    <x v="1"/>
    <s v="University of Arkansas at Little Rock"/>
    <m/>
    <n v="106245"/>
    <x v="2"/>
    <n v="224625"/>
    <n v="232943"/>
    <n v="152131"/>
    <n v="156894"/>
    <n v="17654"/>
    <n v="17874"/>
    <n v="54492"/>
    <n v="0"/>
    <n v="348"/>
    <n v="58175"/>
    <m/>
    <n v="0"/>
    <m/>
    <m/>
    <n v="51282"/>
    <n v="51489"/>
    <n v="26673"/>
    <n v="25970"/>
    <n v="12882"/>
    <n v="13569"/>
    <n v="11655"/>
    <m/>
    <n v="72"/>
    <n v="11950"/>
    <n v="0"/>
    <n v="0"/>
    <m/>
    <m/>
  </r>
  <r>
    <x v="1"/>
    <s v="University of Central Arkansas "/>
    <m/>
    <n v="106704"/>
    <x v="2"/>
    <n v="287999"/>
    <n v="274416"/>
    <n v="265513"/>
    <n v="258786"/>
    <n v="12209"/>
    <n v="6177"/>
    <n v="0"/>
    <n v="2"/>
    <n v="9673"/>
    <n v="4513"/>
    <n v="4240"/>
    <n v="0"/>
    <n v="602"/>
    <n v="700"/>
    <n v="34172"/>
    <n v="32999"/>
    <n v="24327"/>
    <n v="23605"/>
    <n v="1452"/>
    <n v="1662"/>
    <m/>
    <n v="258"/>
    <n v="8084"/>
    <n v="3406"/>
    <n v="4326"/>
    <n v="0"/>
    <n v="51"/>
    <m/>
  </r>
  <r>
    <x v="1"/>
    <s v="Arkansas Tech University"/>
    <s v="Met the criteria for Four-Year 3 in 2010-11."/>
    <n v="106467"/>
    <x v="3"/>
    <n v="188683"/>
    <n v="208684"/>
    <n v="155162"/>
    <n v="163408"/>
    <n v="8316"/>
    <n v="14672"/>
    <n v="25205"/>
    <m/>
    <m/>
    <n v="30604"/>
    <m/>
    <n v="0"/>
    <m/>
    <m/>
    <n v="8965"/>
    <n v="11684"/>
    <n v="5235"/>
    <n v="5676"/>
    <n v="659"/>
    <n v="1046"/>
    <n v="3056"/>
    <n v="15"/>
    <m/>
    <n v="4770"/>
    <n v="192"/>
    <n v="0"/>
    <m/>
    <m/>
  </r>
  <r>
    <x v="1"/>
    <s v="Henderson State University"/>
    <m/>
    <n v="107071"/>
    <x v="3"/>
    <n v="87055"/>
    <n v="93335"/>
    <n v="80572"/>
    <n v="85117"/>
    <n v="692"/>
    <n v="723"/>
    <n v="5791"/>
    <m/>
    <n v="0"/>
    <n v="3567"/>
    <n v="3224"/>
    <n v="704"/>
    <m/>
    <m/>
    <n v="11893"/>
    <n v="8648"/>
    <n v="8470"/>
    <n v="7097"/>
    <n v="3303"/>
    <n v="1197"/>
    <n v="120"/>
    <m/>
    <m/>
    <n v="78"/>
    <n v="255"/>
    <n v="21"/>
    <m/>
    <m/>
  </r>
  <r>
    <x v="1"/>
    <s v="Southern Arkansas University"/>
    <s v="Met the criteria for Four-Year 4 in 2009-10 and 2010-11."/>
    <n v="107983"/>
    <x v="4"/>
    <n v="76071"/>
    <n v="81946"/>
    <n v="67441"/>
    <n v="72159"/>
    <n v="2096"/>
    <n v="2199"/>
    <n v="6216"/>
    <n v="318"/>
    <m/>
    <n v="7405"/>
    <n v="183"/>
    <n v="0"/>
    <m/>
    <m/>
    <n v="8157"/>
    <n v="8038"/>
    <n v="3456"/>
    <n v="2720"/>
    <n v="246"/>
    <n v="224"/>
    <n v="4455"/>
    <m/>
    <m/>
    <n v="5094"/>
    <n v="0"/>
    <n v="0"/>
    <m/>
    <m/>
  </r>
  <r>
    <x v="1"/>
    <s v="University of Arkansas at Monticello"/>
    <m/>
    <n v="106485"/>
    <x v="4"/>
    <n v="67572"/>
    <n v="70587"/>
    <n v="57677"/>
    <n v="59569"/>
    <n v="925"/>
    <n v="1124"/>
    <n v="6543"/>
    <n v="2427"/>
    <m/>
    <n v="7461"/>
    <n v="927"/>
    <n v="1506"/>
    <m/>
    <m/>
    <n v="2120"/>
    <n v="2591"/>
    <n v="1145"/>
    <n v="1290"/>
    <n v="6"/>
    <n v="15"/>
    <n v="969"/>
    <m/>
    <m/>
    <n v="1286"/>
    <n v="0"/>
    <n v="0"/>
    <m/>
    <m/>
  </r>
  <r>
    <x v="1"/>
    <s v="University of Arkansas at Fort Smith"/>
    <m/>
    <n v="108092"/>
    <x v="5"/>
    <n v="174359"/>
    <n v="188801"/>
    <n v="148245"/>
    <n v="163192"/>
    <n v="2064"/>
    <n v="2253"/>
    <n v="23792"/>
    <n v="258"/>
    <m/>
    <n v="22900"/>
    <n v="456"/>
    <n v="0"/>
    <m/>
    <m/>
    <n v="0"/>
    <n v="0"/>
    <m/>
    <n v="0"/>
    <m/>
    <n v="0"/>
    <m/>
    <m/>
    <m/>
    <n v="0"/>
    <n v="0"/>
    <n v="0"/>
    <m/>
    <m/>
  </r>
  <r>
    <x v="1"/>
    <s v="University of Arkansas at Pine Bluff"/>
    <s v="Met the criteria for Four-Year 5 in 2010-11."/>
    <n v="106412"/>
    <x v="5"/>
    <n v="99114"/>
    <n v="95470"/>
    <n v="90011"/>
    <n v="87105"/>
    <n v="2982"/>
    <n v="1627"/>
    <n v="0"/>
    <n v="6121"/>
    <m/>
    <m/>
    <n v="6738"/>
    <n v="0"/>
    <m/>
    <m/>
    <n v="2217"/>
    <n v="2132"/>
    <n v="1890"/>
    <n v="1715"/>
    <m/>
    <n v="0"/>
    <m/>
    <n v="327"/>
    <m/>
    <m/>
    <n v="417"/>
    <m/>
    <m/>
    <m/>
  </r>
  <r>
    <x v="1"/>
    <s v="Pulaski Technical College"/>
    <m/>
    <n v="107664"/>
    <x v="6"/>
    <n v="212397"/>
    <n v="246096"/>
    <n v="150112"/>
    <n v="168189"/>
    <n v="0"/>
    <n v="0"/>
    <n v="62285"/>
    <m/>
    <m/>
    <n v="77907"/>
    <m/>
    <n v="0"/>
    <m/>
    <m/>
    <n v="0"/>
    <n v="0"/>
    <m/>
    <n v="0"/>
    <m/>
    <n v="0"/>
    <m/>
    <m/>
    <m/>
    <m/>
    <m/>
    <m/>
    <m/>
    <m/>
  </r>
  <r>
    <x v="1"/>
    <s v="Arkansas State University-Beebe"/>
    <m/>
    <n v="106449"/>
    <x v="7"/>
    <n v="100997"/>
    <n v="106220"/>
    <n v="58966"/>
    <n v="75881"/>
    <n v="22920"/>
    <n v="7938"/>
    <n v="19111"/>
    <m/>
    <m/>
    <n v="22401"/>
    <m/>
    <n v="0"/>
    <m/>
    <m/>
    <n v="0"/>
    <n v="0"/>
    <m/>
    <n v="0"/>
    <m/>
    <n v="0"/>
    <m/>
    <m/>
    <m/>
    <m/>
    <m/>
    <m/>
    <m/>
    <m/>
  </r>
  <r>
    <x v="1"/>
    <s v="Northwest Arkansas Community College "/>
    <s v="Met the criteria for Two-Year 1 in 2009-10 and 2010-11."/>
    <n v="367459"/>
    <x v="7"/>
    <n v="153367"/>
    <n v="171087"/>
    <n v="103268"/>
    <n v="116236"/>
    <n v="19143"/>
    <n v="19775"/>
    <n v="3183"/>
    <n v="535"/>
    <n v="27238"/>
    <n v="16044"/>
    <n v="18149"/>
    <n v="883"/>
    <m/>
    <m/>
    <n v="0"/>
    <n v="0"/>
    <m/>
    <n v="0"/>
    <m/>
    <n v="0"/>
    <m/>
    <m/>
    <m/>
    <m/>
    <m/>
    <m/>
    <m/>
    <m/>
  </r>
  <r>
    <x v="1"/>
    <s v="Arkansas Northeastern College"/>
    <m/>
    <n v="107327"/>
    <x v="8"/>
    <n v="42729"/>
    <n v="45187"/>
    <n v="32505"/>
    <n v="33733"/>
    <n v="3797"/>
    <n v="3649"/>
    <n v="5996"/>
    <n v="431"/>
    <m/>
    <n v="6854"/>
    <n v="951"/>
    <n v="0"/>
    <m/>
    <m/>
    <n v="0"/>
    <n v="0"/>
    <m/>
    <n v="0"/>
    <m/>
    <n v="0"/>
    <m/>
    <m/>
    <m/>
    <m/>
    <m/>
    <m/>
    <m/>
    <m/>
  </r>
  <r>
    <x v="1"/>
    <s v="Arkansas State University Mountain Home"/>
    <m/>
    <n v="420538"/>
    <x v="8"/>
    <n v="32124"/>
    <n v="37542"/>
    <n v="22507"/>
    <n v="24556"/>
    <n v="950"/>
    <n v="1198"/>
    <n v="8383"/>
    <n v="284"/>
    <m/>
    <n v="11335"/>
    <n v="453"/>
    <n v="0"/>
    <m/>
    <m/>
    <n v="0"/>
    <n v="0"/>
    <m/>
    <n v="0"/>
    <m/>
    <n v="0"/>
    <m/>
    <m/>
    <m/>
    <m/>
    <m/>
    <m/>
    <m/>
    <m/>
  </r>
  <r>
    <x v="1"/>
    <s v="Arkansas State University-Newport"/>
    <m/>
    <n v="440402"/>
    <x v="8"/>
    <n v="41054"/>
    <n v="46758"/>
    <n v="14767"/>
    <n v="10605"/>
    <n v="12689"/>
    <n v="17827"/>
    <n v="13598"/>
    <m/>
    <m/>
    <n v="17723"/>
    <n v="603"/>
    <n v="0"/>
    <m/>
    <m/>
    <n v="0"/>
    <n v="0"/>
    <m/>
    <n v="0"/>
    <m/>
    <n v="0"/>
    <m/>
    <m/>
    <m/>
    <m/>
    <m/>
    <m/>
    <m/>
    <m/>
  </r>
  <r>
    <x v="1"/>
    <s v="Black River Technical College"/>
    <s v="Met the criteria for Two-Year 2 in 2010-11."/>
    <n v="106625"/>
    <x v="8"/>
    <n v="51194"/>
    <n v="60662"/>
    <n v="29483"/>
    <n v="30781"/>
    <n v="11761"/>
    <n v="17554"/>
    <n v="8308"/>
    <n v="1642"/>
    <m/>
    <n v="10602"/>
    <n v="1725"/>
    <n v="0"/>
    <m/>
    <m/>
    <n v="0"/>
    <n v="0"/>
    <m/>
    <n v="0"/>
    <m/>
    <n v="0"/>
    <m/>
    <m/>
    <m/>
    <m/>
    <m/>
    <m/>
    <m/>
    <m/>
  </r>
  <r>
    <x v="1"/>
    <s v="Cossatot Community College of the University of Arkansas"/>
    <m/>
    <n v="106795"/>
    <x v="8"/>
    <n v="27409"/>
    <n v="32202"/>
    <n v="6607"/>
    <n v="7179"/>
    <n v="7945"/>
    <n v="9939"/>
    <n v="9743"/>
    <n v="3114"/>
    <m/>
    <n v="11610"/>
    <n v="3474"/>
    <n v="0"/>
    <m/>
    <m/>
    <n v="0"/>
    <n v="0"/>
    <m/>
    <n v="0"/>
    <m/>
    <n v="0"/>
    <m/>
    <m/>
    <m/>
    <m/>
    <m/>
    <m/>
    <m/>
    <m/>
  </r>
  <r>
    <x v="1"/>
    <s v="East Arkansas Community College "/>
    <m/>
    <n v="106883"/>
    <x v="8"/>
    <n v="31764"/>
    <n v="32115"/>
    <n v="19955"/>
    <n v="18957"/>
    <n v="6150"/>
    <n v="6564"/>
    <n v="4698"/>
    <n v="961"/>
    <m/>
    <n v="5373"/>
    <n v="1221"/>
    <n v="0"/>
    <m/>
    <m/>
    <n v="0"/>
    <n v="0"/>
    <m/>
    <n v="0"/>
    <m/>
    <n v="0"/>
    <m/>
    <m/>
    <m/>
    <m/>
    <m/>
    <m/>
    <m/>
    <m/>
  </r>
  <r>
    <x v="1"/>
    <s v="Mid-South Community College "/>
    <m/>
    <n v="107318"/>
    <x v="8"/>
    <n v="35042"/>
    <n v="43515"/>
    <n v="34533"/>
    <n v="40723"/>
    <s v=" "/>
    <n v="637"/>
    <n v="509"/>
    <m/>
    <m/>
    <n v="2155"/>
    <m/>
    <m/>
    <m/>
    <m/>
    <n v="0"/>
    <n v="0"/>
    <m/>
    <n v="0"/>
    <m/>
    <n v="0"/>
    <m/>
    <m/>
    <m/>
    <m/>
    <m/>
    <m/>
    <m/>
    <m/>
  </r>
  <r>
    <x v="1"/>
    <s v="National Park Community College"/>
    <s v="Reclassifed: met the criteria for Two-Year 2 in 2008-09, 2009-10 and 2010-11."/>
    <n v="106980"/>
    <x v="7"/>
    <n v="71397"/>
    <n v="86836"/>
    <n v="61153"/>
    <n v="74118"/>
    <n v="3629"/>
    <n v="3577"/>
    <n v="6615"/>
    <m/>
    <m/>
    <n v="3980"/>
    <n v="5161"/>
    <m/>
    <m/>
    <m/>
    <n v="0"/>
    <n v="0"/>
    <m/>
    <n v="0"/>
    <m/>
    <n v="0"/>
    <m/>
    <m/>
    <m/>
    <m/>
    <m/>
    <m/>
    <m/>
    <m/>
  </r>
  <r>
    <x v="1"/>
    <s v="North Arkansas College"/>
    <m/>
    <n v="107460"/>
    <x v="8"/>
    <n v="53370"/>
    <n v="56913"/>
    <n v="46711"/>
    <n v="50019"/>
    <n v="2412"/>
    <n v="2457"/>
    <n v="4247"/>
    <m/>
    <m/>
    <n v="4437"/>
    <m/>
    <m/>
    <m/>
    <m/>
    <n v="0"/>
    <n v="0"/>
    <m/>
    <n v="0"/>
    <m/>
    <n v="0"/>
    <m/>
    <m/>
    <m/>
    <m/>
    <m/>
    <m/>
    <m/>
    <m/>
  </r>
  <r>
    <x v="1"/>
    <s v="Ouachita Technical College "/>
    <m/>
    <n v="107521"/>
    <x v="8"/>
    <n v="28519"/>
    <n v="28831"/>
    <n v="20362"/>
    <n v="21647"/>
    <n v="2514"/>
    <n v="2228"/>
    <n v="5499"/>
    <n v="144"/>
    <m/>
    <n v="3671"/>
    <n v="1285"/>
    <m/>
    <m/>
    <m/>
    <n v="0"/>
    <n v="0"/>
    <m/>
    <n v="0"/>
    <m/>
    <n v="0"/>
    <m/>
    <m/>
    <m/>
    <m/>
    <m/>
    <m/>
    <m/>
    <m/>
  </r>
  <r>
    <x v="1"/>
    <s v="Ozarka College "/>
    <m/>
    <n v="107549"/>
    <x v="8"/>
    <n v="28729"/>
    <n v="33890"/>
    <n v="18811"/>
    <n v="21744"/>
    <n v="1218"/>
    <n v="1824"/>
    <n v="6365"/>
    <n v="2335"/>
    <m/>
    <n v="8263"/>
    <n v="2059"/>
    <m/>
    <m/>
    <m/>
    <n v="0"/>
    <n v="0"/>
    <m/>
    <n v="0"/>
    <m/>
    <n v="0"/>
    <m/>
    <m/>
    <m/>
    <m/>
    <m/>
    <m/>
    <m/>
    <m/>
  </r>
  <r>
    <x v="1"/>
    <s v="Phillips Community College of the Univ of Arkansas"/>
    <m/>
    <n v="107619"/>
    <x v="8"/>
    <n v="40915"/>
    <n v="41430"/>
    <n v="33242"/>
    <n v="36982"/>
    <n v="3612"/>
    <n v="0"/>
    <n v="2709"/>
    <n v="1352"/>
    <m/>
    <n v="2932"/>
    <n v="1428"/>
    <n v="88"/>
    <m/>
    <m/>
    <n v="0"/>
    <n v="0"/>
    <m/>
    <n v="0"/>
    <m/>
    <n v="0"/>
    <m/>
    <m/>
    <m/>
    <m/>
    <m/>
    <m/>
    <m/>
    <m/>
  </r>
  <r>
    <x v="1"/>
    <s v="Rich Mountain Community College "/>
    <m/>
    <n v="107743"/>
    <x v="8"/>
    <n v="19075"/>
    <n v="20112"/>
    <n v="13693"/>
    <n v="13667"/>
    <n v="4821"/>
    <n v="4577"/>
    <n v="0"/>
    <n v="561"/>
    <m/>
    <n v="1478"/>
    <n v="126"/>
    <n v="264"/>
    <m/>
    <m/>
    <n v="0"/>
    <n v="0"/>
    <m/>
    <n v="0"/>
    <m/>
    <n v="0"/>
    <m/>
    <m/>
    <m/>
    <m/>
    <m/>
    <m/>
    <m/>
    <m/>
  </r>
  <r>
    <x v="1"/>
    <s v="South Arkansas Community College"/>
    <m/>
    <n v="107974"/>
    <x v="8"/>
    <n v="37833"/>
    <n v="40831"/>
    <n v="30962"/>
    <n v="33339"/>
    <n v="1303"/>
    <n v="180"/>
    <n v="5468"/>
    <m/>
    <m/>
    <n v="7312"/>
    <m/>
    <m/>
    <n v="100"/>
    <m/>
    <n v="0"/>
    <n v="0"/>
    <m/>
    <n v="0"/>
    <m/>
    <n v="0"/>
    <m/>
    <m/>
    <m/>
    <m/>
    <m/>
    <m/>
    <m/>
    <m/>
  </r>
  <r>
    <x v="1"/>
    <s v="Southeast Arkansas College"/>
    <m/>
    <n v="107637"/>
    <x v="8"/>
    <n v="46305"/>
    <n v="49137"/>
    <n v="40418"/>
    <n v="42484"/>
    <n v="3169"/>
    <n v="2381"/>
    <n v="2718"/>
    <m/>
    <m/>
    <n v="4272"/>
    <m/>
    <m/>
    <m/>
    <m/>
    <n v="0"/>
    <n v="0"/>
    <m/>
    <n v="0"/>
    <m/>
    <n v="0"/>
    <m/>
    <m/>
    <m/>
    <m/>
    <m/>
    <m/>
    <m/>
    <m/>
  </r>
  <r>
    <x v="1"/>
    <s v="Southern Arkansas University Tech"/>
    <m/>
    <n v="107992"/>
    <x v="8"/>
    <n v="41625"/>
    <n v="39285"/>
    <n v="17056"/>
    <n v="17445"/>
    <n v="15604"/>
    <n v="11619"/>
    <n v="0"/>
    <m/>
    <n v="8965"/>
    <m/>
    <n v="10221"/>
    <m/>
    <m/>
    <m/>
    <n v="0"/>
    <n v="0"/>
    <m/>
    <n v="0"/>
    <m/>
    <n v="0"/>
    <m/>
    <m/>
    <m/>
    <m/>
    <m/>
    <m/>
    <m/>
    <m/>
  </r>
  <r>
    <x v="1"/>
    <s v="University of Arkansas Community College at Batesville"/>
    <m/>
    <n v="106999"/>
    <x v="8"/>
    <n v="39712"/>
    <n v="41477"/>
    <n v="33017"/>
    <n v="34434"/>
    <n v="438"/>
    <n v="534"/>
    <n v="6257"/>
    <m/>
    <m/>
    <n v="6509"/>
    <m/>
    <m/>
    <m/>
    <m/>
    <n v="0"/>
    <n v="0"/>
    <m/>
    <n v="0"/>
    <m/>
    <n v="0"/>
    <m/>
    <m/>
    <m/>
    <m/>
    <m/>
    <m/>
    <m/>
    <m/>
  </r>
  <r>
    <x v="1"/>
    <s v="University of Arkansas Community College at Hope"/>
    <m/>
    <n v="107725"/>
    <x v="8"/>
    <n v="31739"/>
    <n v="34577"/>
    <n v="31724"/>
    <n v="34556"/>
    <n v="0"/>
    <n v="0"/>
    <n v="6"/>
    <m/>
    <n v="9"/>
    <n v="3"/>
    <n v="18"/>
    <m/>
    <m/>
    <m/>
    <n v="0"/>
    <n v="0"/>
    <m/>
    <n v="0"/>
    <m/>
    <n v="0"/>
    <m/>
    <m/>
    <m/>
    <m/>
    <m/>
    <m/>
    <m/>
    <m/>
  </r>
  <r>
    <x v="1"/>
    <s v="University of Arkansas Community College at Morrilton"/>
    <m/>
    <n v="107585"/>
    <x v="8"/>
    <n v="52479"/>
    <n v="58656"/>
    <n v="50055"/>
    <n v="56063"/>
    <n v="72"/>
    <n v="0"/>
    <n v="2352"/>
    <m/>
    <m/>
    <n v="2593"/>
    <m/>
    <m/>
    <m/>
    <m/>
    <n v="0"/>
    <n v="0"/>
    <m/>
    <n v="0"/>
    <m/>
    <n v="0"/>
    <m/>
    <m/>
    <m/>
    <m/>
    <m/>
    <m/>
    <m/>
    <m/>
  </r>
  <r>
    <x v="2"/>
    <s v="dummy"/>
    <m/>
    <m/>
    <x v="0"/>
    <m/>
    <m/>
    <m/>
    <m/>
    <m/>
    <m/>
    <m/>
    <m/>
    <m/>
    <m/>
    <m/>
    <m/>
    <m/>
    <m/>
    <m/>
    <m/>
    <m/>
    <m/>
    <m/>
    <m/>
    <m/>
    <m/>
    <m/>
    <m/>
    <m/>
    <m/>
    <m/>
    <m/>
  </r>
  <r>
    <x v="3"/>
    <s v="Florida International University"/>
    <m/>
    <n v="133951"/>
    <x v="0"/>
    <n v="827508"/>
    <n v="897265"/>
    <n v="536235"/>
    <n v="591080"/>
    <n v="141223"/>
    <n v="154504"/>
    <n v="148555"/>
    <n v="522"/>
    <n v="973"/>
    <n v="150251"/>
    <m/>
    <n v="1430"/>
    <m/>
    <m/>
    <n v="158978"/>
    <n v="174422"/>
    <n v="115092"/>
    <n v="120310"/>
    <n v="28290"/>
    <n v="34619"/>
    <n v="15206"/>
    <m/>
    <n v="390"/>
    <n v="18941"/>
    <m/>
    <n v="552"/>
    <m/>
    <m/>
  </r>
  <r>
    <x v="3"/>
    <s v="Florida State University "/>
    <m/>
    <n v="134097"/>
    <x v="0"/>
    <n v="950946"/>
    <n v="972297"/>
    <n v="816647"/>
    <n v="827082"/>
    <n v="58803"/>
    <n v="64350"/>
    <n v="27083"/>
    <m/>
    <n v="48413"/>
    <n v="31723"/>
    <m/>
    <n v="49142"/>
    <m/>
    <m/>
    <n v="185887"/>
    <n v="184136"/>
    <n v="148552"/>
    <n v="147674"/>
    <n v="11754"/>
    <n v="9717"/>
    <n v="24996"/>
    <n v="30"/>
    <n v="555"/>
    <n v="25533"/>
    <m/>
    <n v="1212"/>
    <m/>
    <m/>
  </r>
  <r>
    <x v="3"/>
    <s v="University of Central Florida "/>
    <m/>
    <n v="132903"/>
    <x v="0"/>
    <n v="1210656"/>
    <n v="1281797"/>
    <n v="821150"/>
    <n v="854188"/>
    <n v="102204"/>
    <n v="99536"/>
    <n v="212795"/>
    <n v="56992"/>
    <n v="17515"/>
    <n v="319467"/>
    <n v="1758"/>
    <n v="6848"/>
    <m/>
    <m/>
    <n v="129243.3"/>
    <n v="140449"/>
    <n v="76908.800000000003"/>
    <n v="76050"/>
    <n v="12449.5"/>
    <n v="12844"/>
    <n v="36336"/>
    <n v="69"/>
    <n v="3480"/>
    <n v="49893"/>
    <n v="156"/>
    <n v="1506"/>
    <m/>
    <m/>
  </r>
  <r>
    <x v="3"/>
    <s v="University of Florida"/>
    <m/>
    <n v="134130"/>
    <x v="0"/>
    <n v="1021008"/>
    <n v="983555"/>
    <n v="787004"/>
    <n v="749194"/>
    <m/>
    <m/>
    <n v="59736"/>
    <n v="338"/>
    <n v="166889"/>
    <n v="126058"/>
    <n v="346"/>
    <n v="101235"/>
    <n v="7041"/>
    <n v="6722"/>
    <n v="357375"/>
    <n v="357500"/>
    <n v="289789"/>
    <n v="265398"/>
    <m/>
    <n v="30"/>
    <n v="40219"/>
    <n v="1621"/>
    <n v="25743"/>
    <n v="47167"/>
    <n v="505"/>
    <n v="44283"/>
    <n v="3"/>
    <n v="117"/>
  </r>
  <r>
    <x v="3"/>
    <s v="University of South Florida "/>
    <m/>
    <n v="137351"/>
    <x v="0"/>
    <n v="984652"/>
    <n v="1011653"/>
    <n v="650197"/>
    <n v="676590"/>
    <n v="127964"/>
    <n v="123581"/>
    <n v="182471"/>
    <n v="2679"/>
    <n v="21341"/>
    <n v="204478"/>
    <n v="337"/>
    <n v="6667"/>
    <m/>
    <m/>
    <n v="182477"/>
    <n v="188864"/>
    <n v="101176"/>
    <n v="119238"/>
    <n v="40412"/>
    <n v="25920"/>
    <n v="39931"/>
    <n v="195"/>
    <n v="763"/>
    <n v="43673"/>
    <m/>
    <n v="33"/>
    <m/>
    <m/>
  </r>
  <r>
    <x v="3"/>
    <s v="Florida Atlantic University "/>
    <m/>
    <n v="133669"/>
    <x v="1"/>
    <n v="539048"/>
    <n v="570235"/>
    <n v="391449"/>
    <n v="425119"/>
    <n v="114564"/>
    <n v="108075"/>
    <n v="25370"/>
    <n v="6636"/>
    <n v="1029"/>
    <n v="32865"/>
    <n v="1870"/>
    <n v="2306"/>
    <m/>
    <m/>
    <n v="78594"/>
    <n v="80819"/>
    <n v="41608"/>
    <n v="46326"/>
    <n v="17062"/>
    <n v="14834"/>
    <n v="16293"/>
    <n v="2441"/>
    <n v="1190"/>
    <n v="17682"/>
    <n v="789"/>
    <n v="1188"/>
    <m/>
    <m/>
  </r>
  <r>
    <x v="3"/>
    <s v="Florida Agricultural &amp; Mechanical University "/>
    <m/>
    <n v="133650"/>
    <x v="2"/>
    <n v="295523"/>
    <n v="325761"/>
    <n v="291621"/>
    <n v="321906"/>
    <n v="3514"/>
    <n v="3796"/>
    <n v="375"/>
    <m/>
    <n v="13"/>
    <m/>
    <m/>
    <n v="59"/>
    <m/>
    <m/>
    <n v="49355"/>
    <n v="49743"/>
    <n v="32426"/>
    <n v="31978"/>
    <n v="16929"/>
    <n v="17765"/>
    <m/>
    <m/>
    <m/>
    <m/>
    <m/>
    <m/>
    <m/>
    <m/>
  </r>
  <r>
    <x v="3"/>
    <s v="University of North Florida"/>
    <m/>
    <n v="136172"/>
    <x v="2"/>
    <n v="378168"/>
    <n v="379860"/>
    <n v="360210"/>
    <n v="360615"/>
    <n v="5018"/>
    <n v="4476"/>
    <n v="12940"/>
    <m/>
    <m/>
    <n v="14769"/>
    <m/>
    <m/>
    <m/>
    <m/>
    <n v="33151"/>
    <n v="33015"/>
    <n v="27584"/>
    <n v="26686"/>
    <n v="2906"/>
    <n v="3236"/>
    <n v="2661"/>
    <m/>
    <m/>
    <n v="3093"/>
    <m/>
    <m/>
    <m/>
    <m/>
  </r>
  <r>
    <x v="3"/>
    <s v="University of West Florida"/>
    <m/>
    <n v="138354"/>
    <x v="2"/>
    <n v="231470"/>
    <n v="247942"/>
    <n v="145563"/>
    <n v="128685"/>
    <n v="4490"/>
    <n v="3288"/>
    <n v="78409"/>
    <n v="3008"/>
    <m/>
    <n v="108181"/>
    <n v="452"/>
    <n v="7336"/>
    <m/>
    <m/>
    <n v="29350"/>
    <n v="31484"/>
    <n v="9600"/>
    <n v="7934"/>
    <n v="480"/>
    <n v="402"/>
    <n v="19180"/>
    <n v="90"/>
    <m/>
    <n v="20592"/>
    <n v="231"/>
    <n v="2325"/>
    <m/>
    <m/>
  </r>
  <r>
    <x v="3"/>
    <s v="Florida Gulf Coast University"/>
    <m/>
    <n v="433660"/>
    <x v="3"/>
    <n v="247828"/>
    <n v="268823"/>
    <n v="197874"/>
    <n v="211054"/>
    <n v="6603"/>
    <n v="5973"/>
    <n v="43279"/>
    <m/>
    <n v="72"/>
    <n v="51796"/>
    <m/>
    <m/>
    <m/>
    <m/>
    <n v="21548"/>
    <n v="24078"/>
    <n v="11880"/>
    <n v="12553"/>
    <n v="1021"/>
    <n v="1376"/>
    <n v="8647"/>
    <m/>
    <m/>
    <n v="10149"/>
    <m/>
    <m/>
    <m/>
    <m/>
  </r>
  <r>
    <x v="3"/>
    <s v="New College of Florida"/>
    <m/>
    <n v="262129"/>
    <x v="5"/>
    <n v="27872"/>
    <n v="27680"/>
    <n v="27872"/>
    <n v="27680"/>
    <m/>
    <m/>
    <m/>
    <m/>
    <m/>
    <m/>
    <m/>
    <m/>
    <m/>
    <m/>
    <n v="0"/>
    <n v="0"/>
    <m/>
    <m/>
    <m/>
    <m/>
    <m/>
    <m/>
    <m/>
    <m/>
    <m/>
    <m/>
    <m/>
    <m/>
  </r>
  <r>
    <x v="3"/>
    <s v="Chipola College "/>
    <m/>
    <n v="133021"/>
    <x v="11"/>
    <n v="47216"/>
    <n v="46218"/>
    <n v="42458"/>
    <n v="17236"/>
    <n v="1977"/>
    <n v="1150"/>
    <n v="2044"/>
    <n v="0"/>
    <n v="0"/>
    <n v="3576"/>
    <n v="0"/>
    <n v="15952"/>
    <n v="737"/>
    <n v="8304"/>
    <n v="0"/>
    <n v="0"/>
    <m/>
    <m/>
    <m/>
    <m/>
    <m/>
    <m/>
    <m/>
    <m/>
    <m/>
    <m/>
    <m/>
    <m/>
  </r>
  <r>
    <x v="3"/>
    <s v="Daytona State College "/>
    <s v="Formerly Daytona Beacah Community College."/>
    <n v="133386"/>
    <x v="11"/>
    <n v="351971"/>
    <n v="403847"/>
    <n v="268288"/>
    <n v="318148"/>
    <n v="0"/>
    <n v="7"/>
    <n v="63091"/>
    <n v="2049"/>
    <n v="18543"/>
    <n v="85480"/>
    <n v="0"/>
    <n v="212"/>
    <n v="0"/>
    <n v="0"/>
    <n v="0"/>
    <n v="0"/>
    <m/>
    <m/>
    <m/>
    <m/>
    <m/>
    <m/>
    <m/>
    <m/>
    <m/>
    <m/>
    <m/>
    <m/>
  </r>
  <r>
    <x v="3"/>
    <s v="Miami Dade College "/>
    <m/>
    <n v="135717"/>
    <x v="11"/>
    <n v="1463404"/>
    <n v="1571735"/>
    <n v="1341835"/>
    <n v="1423962"/>
    <n v="26317"/>
    <n v="16409"/>
    <n v="31885"/>
    <n v="0"/>
    <n v="63263"/>
    <n v="103467"/>
    <n v="0"/>
    <n v="27897"/>
    <n v="104"/>
    <n v="0"/>
    <n v="0"/>
    <n v="0"/>
    <m/>
    <m/>
    <m/>
    <m/>
    <m/>
    <m/>
    <m/>
    <m/>
    <m/>
    <m/>
    <m/>
    <m/>
  </r>
  <r>
    <x v="3"/>
    <s v="Northwest Florida State College"/>
    <m/>
    <n v="136233"/>
    <x v="11"/>
    <n v="159856"/>
    <n v="167455"/>
    <n v="100242"/>
    <n v="102950"/>
    <n v="19415"/>
    <n v="19156"/>
    <n v="20048"/>
    <n v="0"/>
    <n v="8725"/>
    <n v="22421"/>
    <n v="0"/>
    <n v="11157"/>
    <n v="11426"/>
    <n v="11771"/>
    <n v="0"/>
    <n v="0"/>
    <m/>
    <m/>
    <m/>
    <m/>
    <m/>
    <m/>
    <m/>
    <m/>
    <m/>
    <m/>
    <m/>
    <m/>
  </r>
  <r>
    <x v="3"/>
    <s v="St. Petersburg College "/>
    <m/>
    <n v="137078"/>
    <x v="11"/>
    <n v="581223"/>
    <n v="649907"/>
    <n v="336326"/>
    <n v="362169"/>
    <n v="0"/>
    <n v="0"/>
    <n v="202480"/>
    <n v="231"/>
    <n v="38850"/>
    <n v="230083"/>
    <n v="540"/>
    <n v="54084"/>
    <n v="3336"/>
    <n v="3031"/>
    <n v="0"/>
    <n v="0"/>
    <m/>
    <m/>
    <m/>
    <m/>
    <m/>
    <m/>
    <m/>
    <m/>
    <m/>
    <m/>
    <m/>
    <m/>
  </r>
  <r>
    <x v="3"/>
    <s v="Brevard Community College "/>
    <m/>
    <n v="132693"/>
    <x v="6"/>
    <n v="339675"/>
    <n v="360629"/>
    <n v="243220"/>
    <n v="226058"/>
    <n v="9590"/>
    <n v="9299"/>
    <n v="64621"/>
    <n v="0"/>
    <n v="22244"/>
    <n v="110135"/>
    <n v="0"/>
    <n v="15137"/>
    <n v="0"/>
    <n v="0"/>
    <n v="0"/>
    <n v="0"/>
    <m/>
    <m/>
    <m/>
    <m/>
    <m/>
    <m/>
    <m/>
    <m/>
    <m/>
    <m/>
    <m/>
    <m/>
  </r>
  <r>
    <x v="3"/>
    <s v="Broward College "/>
    <s v="Formerly Broward Community College."/>
    <n v="132709"/>
    <x v="6"/>
    <n v="781595"/>
    <n v="870553"/>
    <n v="646985"/>
    <n v="684329"/>
    <n v="44420"/>
    <n v="51796"/>
    <n v="55678"/>
    <n v="984"/>
    <n v="31332"/>
    <n v="77703"/>
    <n v="1084"/>
    <n v="53505"/>
    <n v="2196"/>
    <n v="2136"/>
    <n v="0"/>
    <n v="0"/>
    <m/>
    <m/>
    <m/>
    <m/>
    <m/>
    <m/>
    <m/>
    <m/>
    <m/>
    <m/>
    <m/>
    <m/>
  </r>
  <r>
    <x v="3"/>
    <s v="Edison State College "/>
    <s v="Reclassified: met the criteria for Two-Year with Bachelor's in 2008-09, 2009-10 and 2010-11"/>
    <n v="133508"/>
    <x v="11"/>
    <n v="313514"/>
    <n v="360927"/>
    <n v="258381"/>
    <n v="286589"/>
    <n v="10150"/>
    <n v="12937"/>
    <n v="35332"/>
    <n v="45"/>
    <n v="4218"/>
    <n v="48140"/>
    <n v="30"/>
    <n v="5867"/>
    <n v="5388"/>
    <n v="7364"/>
    <n v="0"/>
    <n v="0"/>
    <m/>
    <m/>
    <m/>
    <m/>
    <m/>
    <m/>
    <m/>
    <m/>
    <m/>
    <m/>
    <m/>
    <m/>
  </r>
  <r>
    <x v="3"/>
    <s v="Florida State College at Jacksonville"/>
    <s v="Formerly Florida Community College at Jacksonville. Met the criteria for Two-Year with Bachelor's in 2009-10 and 2010-11."/>
    <n v="133702"/>
    <x v="6"/>
    <n v="579570"/>
    <n v="668206"/>
    <n v="341569"/>
    <n v="381648"/>
    <n v="12141"/>
    <n v="11706"/>
    <n v="150125"/>
    <n v="0"/>
    <n v="74763"/>
    <n v="217457"/>
    <n v="0"/>
    <n v="57395"/>
    <n v="972"/>
    <n v="0"/>
    <n v="0"/>
    <n v="0"/>
    <m/>
    <m/>
    <m/>
    <m/>
    <m/>
    <m/>
    <m/>
    <m/>
    <m/>
    <m/>
    <m/>
    <m/>
  </r>
  <r>
    <x v="3"/>
    <s v="Hillsborough Community College "/>
    <m/>
    <n v="134495"/>
    <x v="6"/>
    <n v="529165"/>
    <n v="591140"/>
    <n v="458387"/>
    <n v="491367"/>
    <n v="14713"/>
    <n v="14673"/>
    <n v="50038"/>
    <n v="0"/>
    <n v="5985"/>
    <n v="61044"/>
    <n v="0"/>
    <n v="24056"/>
    <n v="42"/>
    <n v="0"/>
    <n v="0"/>
    <n v="0"/>
    <m/>
    <m/>
    <m/>
    <m/>
    <m/>
    <m/>
    <m/>
    <m/>
    <m/>
    <m/>
    <m/>
    <m/>
  </r>
  <r>
    <x v="3"/>
    <s v="Indian River State College "/>
    <s v="Formerly Indian River Community College. Met the criteria for Two-Year with Bachelor's in 2009-10 and 2010-11."/>
    <n v="134608"/>
    <x v="6"/>
    <n v="299147"/>
    <n v="335103"/>
    <n v="224326"/>
    <n v="246610"/>
    <n v="10713"/>
    <n v="11556"/>
    <n v="48696"/>
    <n v="6657"/>
    <n v="8755"/>
    <n v="57764"/>
    <n v="2805"/>
    <n v="16139"/>
    <n v="0"/>
    <n v="229"/>
    <n v="0"/>
    <n v="0"/>
    <m/>
    <m/>
    <m/>
    <m/>
    <m/>
    <m/>
    <m/>
    <m/>
    <m/>
    <m/>
    <m/>
    <m/>
  </r>
  <r>
    <x v="3"/>
    <s v="Palm Beach State College "/>
    <s v="Formerly Palm Beach Community College."/>
    <n v="136358"/>
    <x v="6"/>
    <n v="515154"/>
    <n v="566788"/>
    <n v="407493"/>
    <n v="445259"/>
    <n v="13437"/>
    <n v="11941"/>
    <n v="49044"/>
    <n v="2687"/>
    <n v="42493"/>
    <n v="79376"/>
    <n v="714"/>
    <n v="29498"/>
    <n v="0"/>
    <n v="0"/>
    <n v="0"/>
    <n v="0"/>
    <m/>
    <m/>
    <m/>
    <m/>
    <m/>
    <m/>
    <m/>
    <m/>
    <m/>
    <m/>
    <m/>
    <m/>
  </r>
  <r>
    <x v="3"/>
    <s v="Pasco-Hernando Community College "/>
    <m/>
    <n v="136400"/>
    <x v="6"/>
    <n v="185713"/>
    <n v="211011"/>
    <n v="170976"/>
    <n v="174539"/>
    <n v="3772"/>
    <n v="5466"/>
    <n v="10749"/>
    <n v="0"/>
    <n v="216"/>
    <n v="30401"/>
    <n v="0"/>
    <n v="605"/>
    <n v="0"/>
    <n v="0"/>
    <n v="0"/>
    <n v="0"/>
    <m/>
    <m/>
    <m/>
    <m/>
    <m/>
    <m/>
    <m/>
    <m/>
    <m/>
    <m/>
    <m/>
    <m/>
  </r>
  <r>
    <x v="3"/>
    <s v="Pensacola State College "/>
    <s v="Formerly Pensacola Junior College."/>
    <n v="136473"/>
    <x v="6"/>
    <n v="231637"/>
    <n v="245092"/>
    <n v="187203"/>
    <n v="196410"/>
    <n v="11434"/>
    <n v="10437"/>
    <n v="30618"/>
    <n v="0"/>
    <n v="2382"/>
    <n v="34726"/>
    <n v="0"/>
    <n v="3519"/>
    <n v="0"/>
    <n v="0"/>
    <n v="0"/>
    <n v="0"/>
    <m/>
    <m/>
    <m/>
    <m/>
    <m/>
    <m/>
    <m/>
    <m/>
    <m/>
    <m/>
    <m/>
    <m/>
  </r>
  <r>
    <x v="3"/>
    <s v="Polk State College "/>
    <s v="Formerly Polk Community College."/>
    <n v="136516"/>
    <x v="6"/>
    <n v="181793"/>
    <n v="206465"/>
    <n v="150628"/>
    <n v="157717"/>
    <n v="5865"/>
    <n v="11291"/>
    <n v="18703"/>
    <n v="0"/>
    <n v="6597"/>
    <n v="26838"/>
    <n v="0"/>
    <n v="10619"/>
    <n v="0"/>
    <n v="0"/>
    <n v="0"/>
    <n v="0"/>
    <m/>
    <m/>
    <m/>
    <m/>
    <m/>
    <m/>
    <m/>
    <m/>
    <m/>
    <m/>
    <m/>
    <m/>
  </r>
  <r>
    <x v="3"/>
    <s v="Santa Fe College "/>
    <s v="Formerly Santa Fe Community College."/>
    <n v="137096"/>
    <x v="6"/>
    <n v="342055"/>
    <n v="359098"/>
    <n v="277796"/>
    <n v="276151"/>
    <n v="3956"/>
    <n v="3887"/>
    <n v="47701"/>
    <n v="3"/>
    <n v="12599"/>
    <n v="58580"/>
    <n v="0"/>
    <n v="20480"/>
    <n v="0"/>
    <n v="0"/>
    <n v="0"/>
    <n v="0"/>
    <m/>
    <m/>
    <m/>
    <m/>
    <m/>
    <m/>
    <m/>
    <m/>
    <m/>
    <m/>
    <m/>
    <m/>
  </r>
  <r>
    <x v="3"/>
    <s v="Seminole State College of Florida"/>
    <s v="Formerly Seminole Community College."/>
    <n v="137209"/>
    <x v="6"/>
    <n v="330923"/>
    <n v="398887"/>
    <n v="273596"/>
    <n v="319443"/>
    <n v="0"/>
    <n v="0"/>
    <n v="55437"/>
    <n v="0"/>
    <n v="1890"/>
    <n v="74132"/>
    <n v="0"/>
    <n v="5312"/>
    <n v="0"/>
    <n v="0"/>
    <n v="0"/>
    <n v="0"/>
    <m/>
    <m/>
    <m/>
    <m/>
    <m/>
    <m/>
    <m/>
    <m/>
    <m/>
    <m/>
    <m/>
    <m/>
  </r>
  <r>
    <x v="3"/>
    <s v="State College of Florida, Manatee-Sarasota"/>
    <m/>
    <n v="135391"/>
    <x v="6"/>
    <n v="272386"/>
    <n v="276380"/>
    <n v="233056"/>
    <n v="223582"/>
    <n v="8585"/>
    <n v="9372"/>
    <n v="24448"/>
    <n v="1695"/>
    <n v="4602"/>
    <n v="30775"/>
    <n v="1569"/>
    <n v="11082"/>
    <n v="0"/>
    <n v="0"/>
    <n v="0"/>
    <n v="0"/>
    <m/>
    <m/>
    <m/>
    <m/>
    <m/>
    <m/>
    <m/>
    <m/>
    <m/>
    <m/>
    <m/>
    <m/>
  </r>
  <r>
    <x v="3"/>
    <s v="Tallahassee Community College "/>
    <m/>
    <n v="137759"/>
    <x v="6"/>
    <n v="327104"/>
    <n v="342820"/>
    <n v="285802"/>
    <n v="165250"/>
    <n v="3628"/>
    <n v="3054"/>
    <n v="36856"/>
    <n v="0"/>
    <n v="818"/>
    <n v="18829"/>
    <n v="0"/>
    <n v="155687"/>
    <n v="0"/>
    <n v="0"/>
    <n v="0"/>
    <n v="0"/>
    <m/>
    <m/>
    <m/>
    <m/>
    <m/>
    <m/>
    <m/>
    <m/>
    <m/>
    <m/>
    <m/>
    <m/>
  </r>
  <r>
    <x v="3"/>
    <s v="Valencia Community College "/>
    <m/>
    <n v="138187"/>
    <x v="6"/>
    <n v="827805"/>
    <n v="915042"/>
    <n v="667258"/>
    <n v="715709"/>
    <n v="0"/>
    <n v="0"/>
    <n v="134794"/>
    <n v="0"/>
    <n v="25753"/>
    <n v="161499"/>
    <n v="0"/>
    <n v="37834"/>
    <n v="0"/>
    <n v="0"/>
    <n v="0"/>
    <n v="0"/>
    <m/>
    <m/>
    <m/>
    <m/>
    <m/>
    <m/>
    <m/>
    <m/>
    <m/>
    <m/>
    <m/>
    <m/>
  </r>
  <r>
    <x v="3"/>
    <s v="College of Central Florida"/>
    <s v="Reclassified: met the criteria for Two-Year 1 in 2008-09, 2009-10 and 2010-11. Formerly Central Florida Community College. "/>
    <n v="132851"/>
    <x v="6"/>
    <n v="157184"/>
    <n v="179067"/>
    <n v="127918"/>
    <n v="137662"/>
    <n v="0"/>
    <n v="0"/>
    <n v="22706"/>
    <n v="0"/>
    <n v="6560"/>
    <n v="32997"/>
    <n v="0"/>
    <n v="8408"/>
    <n v="0"/>
    <n v="0"/>
    <n v="0"/>
    <n v="0"/>
    <m/>
    <m/>
    <m/>
    <m/>
    <m/>
    <m/>
    <m/>
    <m/>
    <m/>
    <m/>
    <m/>
    <m/>
  </r>
  <r>
    <x v="3"/>
    <s v="Gulf Coast Community College "/>
    <s v="Met the criteria for Two-Year 1 in 2009-10 and 2010-11."/>
    <n v="134343"/>
    <x v="7"/>
    <n v="131237"/>
    <n v="138911"/>
    <n v="88216"/>
    <n v="92440"/>
    <n v="14739"/>
    <n v="13282"/>
    <n v="25057"/>
    <n v="2241"/>
    <n v="984"/>
    <n v="29336"/>
    <n v="2299"/>
    <n v="1554"/>
    <n v="0"/>
    <n v="0"/>
    <n v="0"/>
    <n v="0"/>
    <m/>
    <m/>
    <m/>
    <m/>
    <m/>
    <m/>
    <m/>
    <m/>
    <m/>
    <m/>
    <m/>
    <m/>
  </r>
  <r>
    <x v="3"/>
    <s v="Lake City Community College "/>
    <m/>
    <n v="135160"/>
    <x v="7"/>
    <n v="57014"/>
    <n v="58982"/>
    <n v="31787"/>
    <n v="32078"/>
    <n v="761"/>
    <n v="1563"/>
    <n v="19677"/>
    <n v="3983"/>
    <n v="806"/>
    <n v="22508"/>
    <n v="1313"/>
    <n v="1520"/>
    <n v="0"/>
    <n v="0"/>
    <n v="0"/>
    <n v="0"/>
    <m/>
    <m/>
    <m/>
    <m/>
    <m/>
    <m/>
    <m/>
    <m/>
    <m/>
    <m/>
    <m/>
    <m/>
  </r>
  <r>
    <x v="3"/>
    <s v="Lake-Sumter Community College "/>
    <m/>
    <n v="135188"/>
    <x v="7"/>
    <n v="89279"/>
    <n v="97432"/>
    <n v="75831"/>
    <n v="77814"/>
    <n v="0"/>
    <n v="0"/>
    <n v="4152"/>
    <n v="0"/>
    <n v="9066"/>
    <n v="5680"/>
    <n v="0"/>
    <n v="13938"/>
    <n v="230"/>
    <n v="0"/>
    <n v="0"/>
    <n v="0"/>
    <m/>
    <m/>
    <m/>
    <m/>
    <m/>
    <m/>
    <m/>
    <m/>
    <m/>
    <m/>
    <m/>
    <m/>
  </r>
  <r>
    <x v="3"/>
    <s v="South Florida Community College "/>
    <m/>
    <n v="137315"/>
    <x v="7"/>
    <n v="47534"/>
    <n v="49486"/>
    <n v="28956"/>
    <n v="15775"/>
    <n v="12275"/>
    <n v="7763"/>
    <n v="4512"/>
    <n v="1350"/>
    <n v="441"/>
    <n v="6436"/>
    <n v="1248"/>
    <n v="17691"/>
    <n v="0"/>
    <n v="573"/>
    <n v="0"/>
    <n v="0"/>
    <m/>
    <m/>
    <m/>
    <m/>
    <m/>
    <m/>
    <m/>
    <m/>
    <m/>
    <m/>
    <m/>
    <m/>
  </r>
  <r>
    <x v="3"/>
    <s v="St. Johns River Community College "/>
    <s v="Met the criteria for Two-Year 1 in  2010-11."/>
    <n v="137281"/>
    <x v="7"/>
    <n v="126280"/>
    <n v="139519"/>
    <n v="91984"/>
    <n v="98958"/>
    <n v="6693"/>
    <n v="7702"/>
    <n v="26324"/>
    <n v="0"/>
    <n v="1279"/>
    <n v="30261"/>
    <n v="0"/>
    <n v="2598"/>
    <n v="0"/>
    <n v="0"/>
    <n v="0"/>
    <n v="0"/>
    <m/>
    <m/>
    <m/>
    <m/>
    <m/>
    <m/>
    <m/>
    <m/>
    <m/>
    <m/>
    <m/>
    <m/>
  </r>
  <r>
    <x v="3"/>
    <s v="Florida Keys Community College "/>
    <m/>
    <n v="133960"/>
    <x v="8"/>
    <n v="28123"/>
    <n v="29899"/>
    <n v="19358"/>
    <n v="24788"/>
    <n v="1998"/>
    <n v="1298"/>
    <n v="2708"/>
    <n v="675"/>
    <n v="3072"/>
    <n v="3191"/>
    <n v="110"/>
    <n v="512"/>
    <n v="312"/>
    <n v="0"/>
    <n v="0"/>
    <n v="0"/>
    <m/>
    <m/>
    <m/>
    <m/>
    <m/>
    <m/>
    <m/>
    <m/>
    <m/>
    <m/>
    <m/>
    <m/>
  </r>
  <r>
    <x v="3"/>
    <s v="North Florida Community College "/>
    <m/>
    <n v="136145"/>
    <x v="8"/>
    <n v="22425"/>
    <n v="25936"/>
    <n v="16780"/>
    <n v="12168"/>
    <n v="1368"/>
    <n v="1755"/>
    <n v="3941"/>
    <n v="0"/>
    <n v="336"/>
    <n v="4919"/>
    <n v="0"/>
    <n v="7094"/>
    <n v="0"/>
    <n v="0"/>
    <n v="0"/>
    <n v="0"/>
    <m/>
    <m/>
    <m/>
    <m/>
    <m/>
    <m/>
    <m/>
    <m/>
    <m/>
    <m/>
    <m/>
    <m/>
  </r>
  <r>
    <x v="4"/>
    <s v="Georgia State University "/>
    <m/>
    <n v="139940"/>
    <x v="0"/>
    <n v="0"/>
    <n v="0"/>
    <m/>
    <m/>
    <m/>
    <m/>
    <m/>
    <m/>
    <m/>
    <m/>
    <m/>
    <m/>
    <m/>
    <m/>
    <n v="0"/>
    <n v="0"/>
    <m/>
    <m/>
    <m/>
    <m/>
    <m/>
    <m/>
    <m/>
    <m/>
    <m/>
    <m/>
    <m/>
    <m/>
  </r>
  <r>
    <x v="4"/>
    <s v="University of Georgia"/>
    <m/>
    <n v="139959"/>
    <x v="0"/>
    <n v="0"/>
    <n v="0"/>
    <m/>
    <m/>
    <m/>
    <m/>
    <m/>
    <m/>
    <m/>
    <m/>
    <m/>
    <m/>
    <m/>
    <m/>
    <n v="0"/>
    <n v="0"/>
    <m/>
    <m/>
    <m/>
    <m/>
    <m/>
    <m/>
    <m/>
    <m/>
    <m/>
    <m/>
    <m/>
    <m/>
  </r>
  <r>
    <x v="4"/>
    <s v="Georgia Institute of Technology"/>
    <m/>
    <n v="139755"/>
    <x v="1"/>
    <n v="0"/>
    <n v="0"/>
    <m/>
    <m/>
    <m/>
    <m/>
    <m/>
    <m/>
    <m/>
    <m/>
    <m/>
    <m/>
    <m/>
    <m/>
    <n v="0"/>
    <n v="0"/>
    <m/>
    <m/>
    <m/>
    <m/>
    <m/>
    <m/>
    <m/>
    <m/>
    <m/>
    <m/>
    <m/>
    <m/>
  </r>
  <r>
    <x v="4"/>
    <s v="Georgia Southern University"/>
    <m/>
    <n v="139931"/>
    <x v="2"/>
    <n v="0"/>
    <n v="0"/>
    <m/>
    <m/>
    <m/>
    <m/>
    <m/>
    <m/>
    <m/>
    <m/>
    <m/>
    <m/>
    <m/>
    <m/>
    <n v="0"/>
    <n v="0"/>
    <m/>
    <m/>
    <m/>
    <m/>
    <m/>
    <m/>
    <m/>
    <m/>
    <m/>
    <m/>
    <m/>
    <m/>
  </r>
  <r>
    <x v="4"/>
    <s v="University of West Georgia"/>
    <m/>
    <n v="141334"/>
    <x v="2"/>
    <n v="0"/>
    <n v="0"/>
    <m/>
    <m/>
    <m/>
    <m/>
    <m/>
    <m/>
    <m/>
    <m/>
    <m/>
    <m/>
    <m/>
    <m/>
    <n v="0"/>
    <n v="0"/>
    <m/>
    <m/>
    <m/>
    <m/>
    <m/>
    <m/>
    <m/>
    <m/>
    <m/>
    <m/>
    <m/>
    <m/>
  </r>
  <r>
    <x v="4"/>
    <s v="Valdosta State University "/>
    <m/>
    <n v="141264"/>
    <x v="2"/>
    <n v="0"/>
    <n v="0"/>
    <m/>
    <m/>
    <m/>
    <m/>
    <m/>
    <m/>
    <m/>
    <m/>
    <m/>
    <m/>
    <m/>
    <m/>
    <n v="0"/>
    <n v="0"/>
    <m/>
    <m/>
    <m/>
    <m/>
    <m/>
    <m/>
    <m/>
    <m/>
    <m/>
    <m/>
    <m/>
    <m/>
  </r>
  <r>
    <x v="4"/>
    <s v="Albany State University "/>
    <m/>
    <n v="138716"/>
    <x v="3"/>
    <n v="0"/>
    <n v="0"/>
    <m/>
    <m/>
    <m/>
    <m/>
    <m/>
    <m/>
    <m/>
    <m/>
    <m/>
    <m/>
    <m/>
    <m/>
    <n v="0"/>
    <n v="0"/>
    <m/>
    <m/>
    <m/>
    <m/>
    <m/>
    <m/>
    <m/>
    <m/>
    <m/>
    <m/>
    <m/>
    <m/>
  </r>
  <r>
    <x v="4"/>
    <s v="Armstrong Atlantic State University"/>
    <m/>
    <n v="138789"/>
    <x v="3"/>
    <n v="0"/>
    <n v="0"/>
    <m/>
    <m/>
    <m/>
    <m/>
    <m/>
    <m/>
    <m/>
    <m/>
    <m/>
    <m/>
    <m/>
    <m/>
    <n v="0"/>
    <n v="0"/>
    <m/>
    <m/>
    <m/>
    <m/>
    <m/>
    <m/>
    <m/>
    <m/>
    <m/>
    <m/>
    <m/>
    <m/>
  </r>
  <r>
    <x v="4"/>
    <s v="Columbus State University"/>
    <m/>
    <n v="139366"/>
    <x v="3"/>
    <n v="0"/>
    <n v="0"/>
    <m/>
    <m/>
    <m/>
    <m/>
    <m/>
    <m/>
    <m/>
    <m/>
    <m/>
    <m/>
    <m/>
    <m/>
    <n v="0"/>
    <n v="0"/>
    <m/>
    <m/>
    <m/>
    <m/>
    <m/>
    <m/>
    <m/>
    <m/>
    <m/>
    <m/>
    <m/>
    <m/>
  </r>
  <r>
    <x v="4"/>
    <s v="Georgia College and State University"/>
    <m/>
    <n v="139861"/>
    <x v="3"/>
    <n v="0"/>
    <n v="0"/>
    <m/>
    <m/>
    <m/>
    <m/>
    <m/>
    <m/>
    <m/>
    <m/>
    <m/>
    <m/>
    <m/>
    <m/>
    <n v="0"/>
    <n v="0"/>
    <m/>
    <m/>
    <m/>
    <m/>
    <m/>
    <m/>
    <m/>
    <m/>
    <m/>
    <m/>
    <m/>
    <m/>
  </r>
  <r>
    <x v="4"/>
    <s v="Kennesaw State University"/>
    <m/>
    <n v="140164"/>
    <x v="3"/>
    <n v="0"/>
    <n v="0"/>
    <m/>
    <m/>
    <m/>
    <m/>
    <m/>
    <m/>
    <m/>
    <m/>
    <m/>
    <m/>
    <m/>
    <m/>
    <n v="0"/>
    <n v="0"/>
    <m/>
    <m/>
    <m/>
    <m/>
    <m/>
    <m/>
    <m/>
    <m/>
    <m/>
    <m/>
    <m/>
    <m/>
  </r>
  <r>
    <x v="4"/>
    <s v="Augusta State University"/>
    <s v="Met the criteria for Four-Year 4 in 2010-11."/>
    <n v="138983"/>
    <x v="4"/>
    <n v="0"/>
    <n v="0"/>
    <m/>
    <m/>
    <m/>
    <m/>
    <m/>
    <m/>
    <m/>
    <m/>
    <m/>
    <m/>
    <m/>
    <m/>
    <n v="0"/>
    <n v="0"/>
    <m/>
    <m/>
    <m/>
    <m/>
    <m/>
    <m/>
    <m/>
    <m/>
    <m/>
    <m/>
    <m/>
    <m/>
  </r>
  <r>
    <x v="4"/>
    <s v="Fort Valley State University"/>
    <m/>
    <n v="139719"/>
    <x v="4"/>
    <n v="0"/>
    <n v="0"/>
    <m/>
    <m/>
    <m/>
    <m/>
    <m/>
    <m/>
    <m/>
    <m/>
    <m/>
    <m/>
    <m/>
    <m/>
    <n v="0"/>
    <n v="0"/>
    <m/>
    <m/>
    <m/>
    <m/>
    <m/>
    <m/>
    <m/>
    <m/>
    <m/>
    <m/>
    <m/>
    <m/>
  </r>
  <r>
    <x v="4"/>
    <s v="Georgia Southwestern State University"/>
    <m/>
    <n v="139764"/>
    <x v="4"/>
    <n v="0"/>
    <n v="0"/>
    <m/>
    <m/>
    <m/>
    <m/>
    <m/>
    <m/>
    <m/>
    <m/>
    <m/>
    <m/>
    <m/>
    <m/>
    <n v="0"/>
    <n v="0"/>
    <m/>
    <m/>
    <m/>
    <m/>
    <m/>
    <m/>
    <m/>
    <m/>
    <m/>
    <m/>
    <m/>
    <m/>
  </r>
  <r>
    <x v="4"/>
    <s v="North Georgia College and State University"/>
    <s v="Met the criteria for Four-Year 4 in 2010-11."/>
    <n v="140669"/>
    <x v="4"/>
    <n v="0"/>
    <n v="0"/>
    <m/>
    <m/>
    <m/>
    <m/>
    <m/>
    <m/>
    <m/>
    <m/>
    <m/>
    <m/>
    <m/>
    <m/>
    <n v="0"/>
    <n v="0"/>
    <m/>
    <m/>
    <m/>
    <m/>
    <m/>
    <m/>
    <m/>
    <m/>
    <m/>
    <m/>
    <m/>
    <m/>
  </r>
  <r>
    <x v="4"/>
    <s v="Savannah State University"/>
    <m/>
    <n v="140960"/>
    <x v="4"/>
    <n v="0"/>
    <n v="0"/>
    <m/>
    <m/>
    <m/>
    <m/>
    <m/>
    <m/>
    <m/>
    <m/>
    <m/>
    <m/>
    <m/>
    <m/>
    <n v="0"/>
    <n v="0"/>
    <m/>
    <m/>
    <m/>
    <m/>
    <m/>
    <m/>
    <m/>
    <m/>
    <m/>
    <m/>
    <m/>
    <m/>
  </r>
  <r>
    <x v="4"/>
    <s v="Clayton State University"/>
    <s v="Met the criteria for Four-Year 5 in 2009-10 and 2010-11."/>
    <n v="139311"/>
    <x v="5"/>
    <n v="0"/>
    <n v="0"/>
    <m/>
    <m/>
    <m/>
    <m/>
    <m/>
    <m/>
    <m/>
    <m/>
    <m/>
    <m/>
    <m/>
    <m/>
    <n v="0"/>
    <n v="0"/>
    <m/>
    <m/>
    <m/>
    <m/>
    <m/>
    <m/>
    <m/>
    <m/>
    <m/>
    <m/>
    <m/>
    <m/>
  </r>
  <r>
    <x v="4"/>
    <s v="Macon State College "/>
    <m/>
    <n v="140322"/>
    <x v="5"/>
    <n v="0"/>
    <n v="0"/>
    <m/>
    <m/>
    <m/>
    <m/>
    <m/>
    <m/>
    <m/>
    <m/>
    <m/>
    <m/>
    <m/>
    <m/>
    <n v="0"/>
    <n v="0"/>
    <m/>
    <m/>
    <m/>
    <m/>
    <m/>
    <m/>
    <m/>
    <m/>
    <m/>
    <m/>
    <m/>
    <m/>
  </r>
  <r>
    <x v="4"/>
    <s v="Dalton State College "/>
    <m/>
    <n v="139463"/>
    <x v="11"/>
    <n v="0"/>
    <n v="0"/>
    <m/>
    <m/>
    <m/>
    <m/>
    <m/>
    <m/>
    <m/>
    <m/>
    <m/>
    <m/>
    <m/>
    <m/>
    <n v="0"/>
    <n v="0"/>
    <m/>
    <m/>
    <m/>
    <m/>
    <m/>
    <m/>
    <m/>
    <m/>
    <m/>
    <m/>
    <m/>
    <m/>
  </r>
  <r>
    <x v="4"/>
    <s v="Gainesville State College "/>
    <s v="Reclassified: met the criteria for Two-Year with Bachelors in 2008-09, 2009-10 and 2010-11."/>
    <n v="139773"/>
    <x v="11"/>
    <n v="0"/>
    <n v="0"/>
    <m/>
    <m/>
    <m/>
    <m/>
    <m/>
    <m/>
    <m/>
    <m/>
    <m/>
    <m/>
    <m/>
    <m/>
    <n v="0"/>
    <n v="0"/>
    <m/>
    <m/>
    <m/>
    <m/>
    <m/>
    <m/>
    <m/>
    <m/>
    <m/>
    <m/>
    <m/>
    <m/>
  </r>
  <r>
    <x v="4"/>
    <s v="Georgia Perimeter College "/>
    <m/>
    <n v="244437"/>
    <x v="6"/>
    <n v="0"/>
    <n v="0"/>
    <m/>
    <m/>
    <m/>
    <m/>
    <m/>
    <m/>
    <m/>
    <m/>
    <m/>
    <m/>
    <m/>
    <m/>
    <n v="0"/>
    <n v="0"/>
    <m/>
    <m/>
    <m/>
    <m/>
    <m/>
    <m/>
    <m/>
    <m/>
    <m/>
    <m/>
    <m/>
    <m/>
  </r>
  <r>
    <x v="4"/>
    <s v="Abraham Baldwin Agricultural College "/>
    <s v="Met the criteria for Two-Year with Bachelor's in 2009-10. Did not award any bachelor's for 2010-11 analysis, looses flag."/>
    <n v="138558"/>
    <x v="7"/>
    <n v="0"/>
    <n v="0"/>
    <m/>
    <m/>
    <m/>
    <m/>
    <m/>
    <m/>
    <m/>
    <m/>
    <m/>
    <m/>
    <m/>
    <m/>
    <n v="0"/>
    <n v="0"/>
    <m/>
    <m/>
    <m/>
    <m/>
    <m/>
    <m/>
    <m/>
    <m/>
    <m/>
    <m/>
    <m/>
    <m/>
  </r>
  <r>
    <x v="4"/>
    <s v="Bainbridge College "/>
    <m/>
    <n v="139010"/>
    <x v="7"/>
    <n v="0"/>
    <n v="0"/>
    <m/>
    <m/>
    <m/>
    <m/>
    <m/>
    <m/>
    <m/>
    <m/>
    <m/>
    <m/>
    <m/>
    <m/>
    <n v="0"/>
    <n v="0"/>
    <m/>
    <m/>
    <m/>
    <m/>
    <m/>
    <m/>
    <m/>
    <m/>
    <m/>
    <m/>
    <m/>
    <m/>
  </r>
  <r>
    <x v="4"/>
    <s v="College of Coastal Georgia "/>
    <m/>
    <n v="139250"/>
    <x v="7"/>
    <n v="0"/>
    <n v="0"/>
    <m/>
    <m/>
    <m/>
    <m/>
    <m/>
    <m/>
    <m/>
    <m/>
    <m/>
    <m/>
    <m/>
    <m/>
    <n v="0"/>
    <n v="0"/>
    <m/>
    <m/>
    <m/>
    <m/>
    <m/>
    <m/>
    <m/>
    <m/>
    <m/>
    <m/>
    <m/>
    <m/>
  </r>
  <r>
    <x v="4"/>
    <s v="Darton College "/>
    <m/>
    <n v="138691"/>
    <x v="7"/>
    <n v="0"/>
    <n v="0"/>
    <m/>
    <m/>
    <m/>
    <m/>
    <m/>
    <m/>
    <m/>
    <m/>
    <m/>
    <m/>
    <m/>
    <m/>
    <n v="0"/>
    <n v="0"/>
    <m/>
    <m/>
    <m/>
    <m/>
    <m/>
    <m/>
    <m/>
    <m/>
    <m/>
    <m/>
    <m/>
    <m/>
  </r>
  <r>
    <x v="4"/>
    <s v="Georgia Highlands College"/>
    <m/>
    <n v="139700"/>
    <x v="7"/>
    <n v="0"/>
    <n v="0"/>
    <m/>
    <m/>
    <m/>
    <m/>
    <m/>
    <m/>
    <m/>
    <m/>
    <m/>
    <m/>
    <m/>
    <m/>
    <n v="0"/>
    <n v="0"/>
    <m/>
    <m/>
    <m/>
    <m/>
    <m/>
    <m/>
    <m/>
    <m/>
    <m/>
    <m/>
    <m/>
    <m/>
  </r>
  <r>
    <x v="4"/>
    <s v="Gordon College "/>
    <s v="Met the criteria for Two-Year with Bachelor's in 2009-10."/>
    <n v="139968"/>
    <x v="7"/>
    <n v="0"/>
    <n v="0"/>
    <m/>
    <m/>
    <m/>
    <m/>
    <m/>
    <m/>
    <m/>
    <m/>
    <m/>
    <m/>
    <m/>
    <m/>
    <n v="0"/>
    <n v="0"/>
    <m/>
    <m/>
    <m/>
    <m/>
    <m/>
    <m/>
    <m/>
    <m/>
    <m/>
    <m/>
    <m/>
    <m/>
  </r>
  <r>
    <x v="4"/>
    <s v="Middle Georgia College "/>
    <m/>
    <n v="140483"/>
    <x v="7"/>
    <n v="0"/>
    <n v="0"/>
    <m/>
    <m/>
    <m/>
    <m/>
    <m/>
    <m/>
    <m/>
    <m/>
    <m/>
    <m/>
    <m/>
    <m/>
    <n v="0"/>
    <n v="0"/>
    <m/>
    <m/>
    <m/>
    <m/>
    <m/>
    <m/>
    <m/>
    <m/>
    <m/>
    <m/>
    <m/>
    <m/>
  </r>
  <r>
    <x v="4"/>
    <s v="Atlanta Metropolitan College"/>
    <s v="Met the criteria for Two-Year 2 in 2009-10 and 2010-11."/>
    <n v="138901"/>
    <x v="8"/>
    <n v="0"/>
    <n v="0"/>
    <m/>
    <m/>
    <m/>
    <m/>
    <m/>
    <m/>
    <m/>
    <m/>
    <m/>
    <m/>
    <m/>
    <m/>
    <n v="0"/>
    <n v="0"/>
    <m/>
    <m/>
    <m/>
    <m/>
    <m/>
    <m/>
    <m/>
    <m/>
    <m/>
    <m/>
    <m/>
    <m/>
  </r>
  <r>
    <x v="4"/>
    <s v="East Georgia College"/>
    <s v="Met the criteria for Two-Year 2 in 2009-10 and 2010-11."/>
    <n v="139621"/>
    <x v="8"/>
    <n v="0"/>
    <n v="0"/>
    <m/>
    <m/>
    <m/>
    <m/>
    <m/>
    <m/>
    <m/>
    <m/>
    <m/>
    <m/>
    <m/>
    <m/>
    <n v="0"/>
    <n v="0"/>
    <m/>
    <m/>
    <m/>
    <m/>
    <m/>
    <m/>
    <m/>
    <m/>
    <m/>
    <m/>
    <m/>
    <m/>
  </r>
  <r>
    <x v="4"/>
    <s v="South Georgia College "/>
    <m/>
    <n v="140997"/>
    <x v="8"/>
    <n v="0"/>
    <n v="0"/>
    <m/>
    <m/>
    <m/>
    <m/>
    <m/>
    <m/>
    <m/>
    <m/>
    <m/>
    <m/>
    <m/>
    <m/>
    <n v="0"/>
    <n v="0"/>
    <m/>
    <m/>
    <m/>
    <m/>
    <m/>
    <m/>
    <m/>
    <m/>
    <m/>
    <m/>
    <m/>
    <m/>
  </r>
  <r>
    <x v="4"/>
    <s v="Waycross College "/>
    <m/>
    <n v="141307"/>
    <x v="8"/>
    <n v="0"/>
    <n v="0"/>
    <m/>
    <m/>
    <m/>
    <m/>
    <m/>
    <m/>
    <m/>
    <m/>
    <m/>
    <m/>
    <m/>
    <m/>
    <n v="0"/>
    <n v="0"/>
    <m/>
    <m/>
    <m/>
    <m/>
    <m/>
    <m/>
    <m/>
    <m/>
    <m/>
    <m/>
    <m/>
    <m/>
  </r>
  <r>
    <x v="4"/>
    <s v="Georgia Gwinnett College"/>
    <s v="In start up phase."/>
    <n v="447689"/>
    <x v="12"/>
    <n v="0"/>
    <n v="0"/>
    <m/>
    <m/>
    <m/>
    <m/>
    <m/>
    <m/>
    <m/>
    <m/>
    <m/>
    <m/>
    <m/>
    <m/>
    <n v="0"/>
    <n v="0"/>
    <m/>
    <m/>
    <m/>
    <m/>
    <m/>
    <m/>
    <m/>
    <m/>
    <m/>
    <m/>
    <m/>
    <m/>
  </r>
  <r>
    <x v="4"/>
    <s v="Albany Technical College"/>
    <m/>
    <n v="138682"/>
    <x v="9"/>
    <n v="157333"/>
    <n v="204508"/>
    <n v="113578"/>
    <n v="137819"/>
    <m/>
    <m/>
    <n v="43755"/>
    <n v="0"/>
    <n v="0"/>
    <n v="66689"/>
    <n v="0"/>
    <m/>
    <m/>
    <m/>
    <n v="0"/>
    <n v="0"/>
    <m/>
    <m/>
    <m/>
    <m/>
    <m/>
    <m/>
    <m/>
    <m/>
    <m/>
    <m/>
    <m/>
    <m/>
  </r>
  <r>
    <x v="4"/>
    <s v="Athens Technical College"/>
    <m/>
    <n v="246813"/>
    <x v="9"/>
    <n v="155120"/>
    <n v="190962"/>
    <n v="139400"/>
    <n v="170984"/>
    <m/>
    <m/>
    <n v="13815"/>
    <n v="1905"/>
    <n v="0"/>
    <n v="17873"/>
    <n v="2105"/>
    <m/>
    <m/>
    <m/>
    <n v="0"/>
    <n v="0"/>
    <m/>
    <m/>
    <m/>
    <m/>
    <m/>
    <m/>
    <m/>
    <m/>
    <m/>
    <m/>
    <m/>
    <m/>
  </r>
  <r>
    <x v="4"/>
    <s v="Atlanta Technical College"/>
    <m/>
    <n v="138840"/>
    <x v="9"/>
    <n v="172661"/>
    <n v="219221"/>
    <n v="151241"/>
    <n v="192770"/>
    <m/>
    <m/>
    <n v="21420"/>
    <n v="0"/>
    <n v="0"/>
    <n v="26451"/>
    <n v="0"/>
    <m/>
    <m/>
    <m/>
    <n v="0"/>
    <n v="0"/>
    <m/>
    <m/>
    <m/>
    <m/>
    <m/>
    <m/>
    <m/>
    <m/>
    <m/>
    <m/>
    <m/>
    <m/>
  </r>
  <r>
    <x v="4"/>
    <s v="Augusta Technical College"/>
    <m/>
    <n v="138956"/>
    <x v="9"/>
    <n v="183274"/>
    <n v="194035"/>
    <n v="161008"/>
    <n v="168612"/>
    <m/>
    <m/>
    <n v="22266"/>
    <n v="0"/>
    <n v="0"/>
    <n v="25423"/>
    <n v="0"/>
    <m/>
    <m/>
    <m/>
    <n v="0"/>
    <n v="0"/>
    <m/>
    <m/>
    <m/>
    <m/>
    <m/>
    <m/>
    <m/>
    <m/>
    <m/>
    <m/>
    <m/>
    <m/>
  </r>
  <r>
    <x v="4"/>
    <s v="Central Georgia Technical College"/>
    <m/>
    <n v="140304"/>
    <x v="9"/>
    <n v="252693"/>
    <n v="308085"/>
    <n v="183959"/>
    <n v="224532"/>
    <m/>
    <m/>
    <n v="68290"/>
    <n v="444"/>
    <n v="0"/>
    <n v="82632"/>
    <n v="921"/>
    <m/>
    <m/>
    <m/>
    <n v="0"/>
    <n v="0"/>
    <m/>
    <m/>
    <m/>
    <m/>
    <m/>
    <m/>
    <m/>
    <m/>
    <m/>
    <m/>
    <m/>
    <m/>
  </r>
  <r>
    <x v="4"/>
    <s v="Chattahoochee Technical College"/>
    <m/>
    <n v="140331"/>
    <x v="9"/>
    <n v="387681"/>
    <n v="478803"/>
    <n v="335554"/>
    <n v="395024"/>
    <n v="0"/>
    <m/>
    <n v="51777"/>
    <n v="350"/>
    <n v="0"/>
    <n v="83779"/>
    <n v="0"/>
    <m/>
    <n v="0"/>
    <m/>
    <n v="0"/>
    <n v="0"/>
    <m/>
    <m/>
    <m/>
    <m/>
    <m/>
    <m/>
    <m/>
    <m/>
    <m/>
    <m/>
    <m/>
    <m/>
  </r>
  <r>
    <x v="4"/>
    <s v="Columbus Technical College"/>
    <m/>
    <n v="139357"/>
    <x v="9"/>
    <n v="139974"/>
    <n v="153852"/>
    <n v="120489"/>
    <n v="131857"/>
    <m/>
    <m/>
    <n v="19485"/>
    <n v="0"/>
    <n v="0"/>
    <n v="21995"/>
    <n v="0"/>
    <m/>
    <m/>
    <m/>
    <n v="0"/>
    <n v="0"/>
    <m/>
    <m/>
    <m/>
    <m/>
    <m/>
    <m/>
    <m/>
    <m/>
    <m/>
    <m/>
    <m/>
    <m/>
  </r>
  <r>
    <x v="4"/>
    <s v="DeKalb Technical College"/>
    <m/>
    <n v="244446"/>
    <x v="9"/>
    <n v="170116"/>
    <n v="200128"/>
    <n v="128931"/>
    <n v="146522"/>
    <m/>
    <m/>
    <n v="41185"/>
    <n v="0"/>
    <n v="0"/>
    <n v="53606"/>
    <n v="0"/>
    <m/>
    <m/>
    <m/>
    <n v="0"/>
    <n v="0"/>
    <m/>
    <m/>
    <m/>
    <m/>
    <m/>
    <m/>
    <m/>
    <m/>
    <m/>
    <m/>
    <m/>
    <m/>
  </r>
  <r>
    <x v="4"/>
    <s v="Georgia Northwestern Technical College"/>
    <m/>
    <n v="139384"/>
    <x v="9"/>
    <n v="226352"/>
    <n v="262590"/>
    <n v="175975"/>
    <n v="195025"/>
    <n v="0"/>
    <m/>
    <n v="50377"/>
    <n v="0"/>
    <n v="0"/>
    <n v="66874"/>
    <n v="691"/>
    <m/>
    <n v="0"/>
    <m/>
    <n v="0"/>
    <n v="0"/>
    <m/>
    <m/>
    <m/>
    <m/>
    <m/>
    <m/>
    <m/>
    <m/>
    <m/>
    <m/>
    <m/>
    <m/>
  </r>
  <r>
    <x v="4"/>
    <s v="Flint River Technical College"/>
    <m/>
    <n v="248794"/>
    <x v="10"/>
    <n v="40522.300000000003"/>
    <n v="0"/>
    <n v="35172.300000000003"/>
    <m/>
    <m/>
    <m/>
    <n v="5350"/>
    <n v="0"/>
    <n v="0"/>
    <m/>
    <m/>
    <m/>
    <m/>
    <m/>
    <n v="0"/>
    <n v="0"/>
    <m/>
    <m/>
    <m/>
    <m/>
    <m/>
    <m/>
    <m/>
    <m/>
    <m/>
    <m/>
    <m/>
    <m/>
  </r>
  <r>
    <x v="4"/>
    <s v="Griffin Technical College  "/>
    <m/>
    <n v="139986"/>
    <x v="9"/>
    <n v="185320"/>
    <n v="0"/>
    <n v="151991"/>
    <m/>
    <m/>
    <m/>
    <n v="33329"/>
    <n v="0"/>
    <n v="0"/>
    <m/>
    <n v="0"/>
    <m/>
    <m/>
    <m/>
    <n v="0"/>
    <n v="0"/>
    <m/>
    <m/>
    <m/>
    <m/>
    <m/>
    <m/>
    <m/>
    <m/>
    <m/>
    <m/>
    <m/>
    <m/>
  </r>
  <r>
    <x v="4"/>
    <s v="Southern Crescent Technical College"/>
    <s v="Is the merger of Flint River Tech. Col. and Griffin Tech.l Col."/>
    <n v="139986"/>
    <x v="9"/>
    <n v="225842.3"/>
    <n v="256231.7"/>
    <n v="187163.3"/>
    <n v="201971.7"/>
    <m/>
    <m/>
    <n v="38679"/>
    <n v="0"/>
    <n v="0"/>
    <n v="54260"/>
    <n v="0"/>
    <m/>
    <m/>
    <m/>
    <n v="0"/>
    <n v="0"/>
    <m/>
    <m/>
    <m/>
    <m/>
    <m/>
    <m/>
    <m/>
    <m/>
    <m/>
    <m/>
    <m/>
    <m/>
  </r>
  <r>
    <x v="4"/>
    <s v="Gwinnett Technical College"/>
    <m/>
    <n v="140012"/>
    <x v="9"/>
    <n v="229812"/>
    <n v="268300"/>
    <n v="175979"/>
    <n v="204070"/>
    <m/>
    <m/>
    <n v="53833"/>
    <n v="0"/>
    <n v="0"/>
    <n v="64230"/>
    <n v="0"/>
    <m/>
    <m/>
    <m/>
    <n v="0"/>
    <n v="0"/>
    <m/>
    <m/>
    <m/>
    <m/>
    <m/>
    <m/>
    <m/>
    <m/>
    <m/>
    <m/>
    <m/>
    <m/>
  </r>
  <r>
    <x v="4"/>
    <s v="Heart of Georgia Technical College"/>
    <m/>
    <n v="140076"/>
    <x v="9"/>
    <n v="60528"/>
    <n v="68011"/>
    <n v="53874"/>
    <n v="61422"/>
    <m/>
    <m/>
    <n v="4642"/>
    <n v="2012"/>
    <n v="0"/>
    <n v="5204"/>
    <n v="1385"/>
    <m/>
    <m/>
    <m/>
    <n v="0"/>
    <n v="0"/>
    <m/>
    <m/>
    <m/>
    <m/>
    <m/>
    <m/>
    <m/>
    <m/>
    <m/>
    <m/>
    <m/>
    <m/>
  </r>
  <r>
    <x v="4"/>
    <s v="Lanier Technical College"/>
    <m/>
    <n v="140243"/>
    <x v="9"/>
    <n v="136384.5"/>
    <n v="164468"/>
    <n v="95320.5"/>
    <n v="111210"/>
    <m/>
    <m/>
    <n v="41064"/>
    <n v="0"/>
    <n v="0"/>
    <n v="53258"/>
    <n v="0"/>
    <m/>
    <m/>
    <m/>
    <n v="0"/>
    <n v="0"/>
    <m/>
    <m/>
    <m/>
    <m/>
    <m/>
    <m/>
    <m/>
    <m/>
    <m/>
    <m/>
    <m/>
    <m/>
  </r>
  <r>
    <x v="4"/>
    <s v="Middle Georgia Technical College"/>
    <m/>
    <n v="140085"/>
    <x v="9"/>
    <n v="136968"/>
    <n v="176705"/>
    <n v="110966"/>
    <n v="140470"/>
    <m/>
    <m/>
    <n v="26002"/>
    <n v="0"/>
    <n v="0"/>
    <n v="36235"/>
    <n v="0"/>
    <m/>
    <m/>
    <m/>
    <n v="0"/>
    <n v="0"/>
    <m/>
    <m/>
    <m/>
    <m/>
    <m/>
    <m/>
    <m/>
    <m/>
    <m/>
    <m/>
    <m/>
    <m/>
  </r>
  <r>
    <x v="4"/>
    <s v="Moultrie Technical College"/>
    <m/>
    <n v="140599"/>
    <x v="9"/>
    <n v="95237"/>
    <n v="106034"/>
    <n v="80188"/>
    <n v="88645"/>
    <m/>
    <m/>
    <n v="15049"/>
    <n v="0"/>
    <n v="0"/>
    <n v="17389"/>
    <n v="0"/>
    <m/>
    <m/>
    <m/>
    <n v="0"/>
    <n v="0"/>
    <m/>
    <m/>
    <m/>
    <m/>
    <m/>
    <m/>
    <m/>
    <m/>
    <m/>
    <m/>
    <m/>
    <m/>
  </r>
  <r>
    <x v="4"/>
    <s v="North Georgia Technical College"/>
    <m/>
    <n v="140678"/>
    <x v="9"/>
    <n v="113701"/>
    <n v="126629"/>
    <n v="88224"/>
    <n v="101174"/>
    <m/>
    <m/>
    <n v="21682"/>
    <n v="3795"/>
    <n v="0"/>
    <n v="21270"/>
    <n v="4185"/>
    <m/>
    <m/>
    <m/>
    <n v="0"/>
    <n v="0"/>
    <m/>
    <m/>
    <m/>
    <m/>
    <m/>
    <m/>
    <m/>
    <m/>
    <m/>
    <m/>
    <m/>
    <m/>
  </r>
  <r>
    <x v="4"/>
    <s v="Ogeechee Technical College"/>
    <m/>
    <n v="366465"/>
    <x v="9"/>
    <n v="91114"/>
    <n v="110287"/>
    <n v="68984"/>
    <n v="81278"/>
    <m/>
    <m/>
    <n v="22130"/>
    <n v="0"/>
    <n v="0"/>
    <n v="29009"/>
    <n v="0"/>
    <m/>
    <m/>
    <m/>
    <n v="0"/>
    <n v="0"/>
    <m/>
    <m/>
    <m/>
    <m/>
    <m/>
    <m/>
    <m/>
    <m/>
    <m/>
    <m/>
    <m/>
    <m/>
  </r>
  <r>
    <x v="4"/>
    <s v="Okefenokee Technical College"/>
    <m/>
    <n v="248776"/>
    <x v="9"/>
    <n v="58188"/>
    <n v="63485.5"/>
    <n v="53560"/>
    <n v="57188.5"/>
    <m/>
    <m/>
    <n v="4628"/>
    <n v="0"/>
    <n v="0"/>
    <n v="6297"/>
    <n v="0"/>
    <m/>
    <m/>
    <m/>
    <n v="0"/>
    <n v="0"/>
    <m/>
    <m/>
    <m/>
    <m/>
    <m/>
    <m/>
    <m/>
    <m/>
    <m/>
    <m/>
    <m/>
    <m/>
  </r>
  <r>
    <x v="4"/>
    <s v="Savannah Technical College"/>
    <m/>
    <n v="140942"/>
    <x v="9"/>
    <n v="196339"/>
    <n v="219242"/>
    <n v="161430"/>
    <n v="175478"/>
    <m/>
    <m/>
    <n v="34884"/>
    <n v="25"/>
    <n v="0"/>
    <n v="43764"/>
    <n v="0"/>
    <m/>
    <m/>
    <m/>
    <n v="0"/>
    <n v="0"/>
    <m/>
    <m/>
    <m/>
    <m/>
    <m/>
    <m/>
    <m/>
    <m/>
    <m/>
    <m/>
    <m/>
    <m/>
  </r>
  <r>
    <x v="4"/>
    <s v="South Georgia Technical College"/>
    <m/>
    <n v="141006"/>
    <x v="9"/>
    <n v="102285"/>
    <n v="121500"/>
    <n v="90704"/>
    <n v="103542"/>
    <m/>
    <m/>
    <n v="11581"/>
    <n v="0"/>
    <n v="0"/>
    <n v="17958"/>
    <n v="0"/>
    <m/>
    <m/>
    <m/>
    <n v="0"/>
    <n v="0"/>
    <m/>
    <m/>
    <m/>
    <m/>
    <m/>
    <m/>
    <m/>
    <m/>
    <m/>
    <m/>
    <m/>
    <m/>
  </r>
  <r>
    <x v="4"/>
    <s v="Southeastern Technical College"/>
    <m/>
    <n v="368911"/>
    <x v="9"/>
    <n v="71487"/>
    <n v="77739"/>
    <n v="59388"/>
    <n v="62917"/>
    <n v="0"/>
    <m/>
    <n v="11767"/>
    <n v="0"/>
    <n v="332"/>
    <n v="14822"/>
    <n v="0"/>
    <m/>
    <n v="0"/>
    <m/>
    <n v="0"/>
    <n v="0"/>
    <m/>
    <m/>
    <m/>
    <m/>
    <m/>
    <m/>
    <m/>
    <m/>
    <m/>
    <m/>
    <m/>
    <m/>
  </r>
  <r>
    <x v="4"/>
    <s v="Southwest Georgia Technical College"/>
    <m/>
    <n v="141158"/>
    <x v="9"/>
    <n v="58063.4"/>
    <n v="63073.5"/>
    <n v="48075.4"/>
    <n v="51614.5"/>
    <m/>
    <m/>
    <n v="9988"/>
    <n v="0"/>
    <n v="0"/>
    <n v="11459"/>
    <n v="0"/>
    <m/>
    <m/>
    <m/>
    <n v="0"/>
    <n v="0"/>
    <m/>
    <m/>
    <m/>
    <m/>
    <m/>
    <m/>
    <m/>
    <m/>
    <m/>
    <m/>
    <m/>
    <m/>
  </r>
  <r>
    <x v="4"/>
    <s v="East Central Technical College"/>
    <m/>
    <n v="139126"/>
    <x v="9"/>
    <n v="64968"/>
    <n v="0"/>
    <n v="57523"/>
    <m/>
    <m/>
    <m/>
    <n v="7445"/>
    <n v="0"/>
    <n v="0"/>
    <m/>
    <m/>
    <m/>
    <m/>
    <m/>
    <n v="0"/>
    <n v="0"/>
    <m/>
    <m/>
    <m/>
    <m/>
    <m/>
    <m/>
    <m/>
    <m/>
    <m/>
    <m/>
    <m/>
    <m/>
  </r>
  <r>
    <x v="4"/>
    <s v="Valdosta Technical College  "/>
    <m/>
    <n v="141255"/>
    <x v="9"/>
    <n v="120468"/>
    <n v="0"/>
    <n v="107382"/>
    <m/>
    <m/>
    <m/>
    <n v="13086"/>
    <n v="0"/>
    <n v="0"/>
    <m/>
    <n v="0"/>
    <m/>
    <m/>
    <m/>
    <n v="0"/>
    <n v="0"/>
    <m/>
    <m/>
    <m/>
    <m/>
    <m/>
    <m/>
    <m/>
    <m/>
    <m/>
    <m/>
    <m/>
    <m/>
  </r>
  <r>
    <x v="4"/>
    <s v="Wiregrass Georgia Technical College"/>
    <s v="Is the merger of East Central Tech. Col. and Valdosta Tech. Col."/>
    <n v="141255"/>
    <x v="9"/>
    <n v="185436"/>
    <n v="224873"/>
    <n v="164905"/>
    <n v="189191"/>
    <m/>
    <m/>
    <n v="20531"/>
    <n v="0"/>
    <n v="0"/>
    <n v="35682"/>
    <n v="0"/>
    <m/>
    <m/>
    <m/>
    <n v="0"/>
    <n v="0"/>
    <m/>
    <m/>
    <m/>
    <m/>
    <m/>
    <m/>
    <m/>
    <m/>
    <m/>
    <m/>
    <m/>
    <m/>
  </r>
  <r>
    <x v="4"/>
    <s v="West Georgia Technical College"/>
    <m/>
    <n v="139278"/>
    <x v="9"/>
    <n v="236439"/>
    <n v="277254"/>
    <n v="202474"/>
    <n v="230828"/>
    <n v="0"/>
    <m/>
    <n v="33965"/>
    <n v="0"/>
    <n v="0"/>
    <n v="46426"/>
    <n v="0"/>
    <m/>
    <n v="0"/>
    <m/>
    <n v="0"/>
    <n v="0"/>
    <m/>
    <m/>
    <m/>
    <m/>
    <m/>
    <m/>
    <m/>
    <m/>
    <m/>
    <m/>
    <m/>
    <m/>
  </r>
  <r>
    <x v="4"/>
    <s v="Altamaha Technical College"/>
    <s v="Reclassified: met criteria for Technical Institute or College 1 in 2008-09, 2009-10 and 2010-11."/>
    <n v="366447"/>
    <x v="9"/>
    <n v="46303"/>
    <n v="63704"/>
    <n v="44400"/>
    <n v="55399"/>
    <m/>
    <m/>
    <n v="1903"/>
    <n v="0"/>
    <n v="0"/>
    <n v="8305"/>
    <n v="0"/>
    <m/>
    <m/>
    <m/>
    <n v="0"/>
    <n v="0"/>
    <m/>
    <m/>
    <m/>
    <m/>
    <m/>
    <m/>
    <m/>
    <m/>
    <m/>
    <m/>
    <m/>
    <m/>
  </r>
  <r>
    <x v="4"/>
    <s v="Sandersville Technical College"/>
    <m/>
    <n v="420431"/>
    <x v="10"/>
    <n v="33500"/>
    <n v="37373"/>
    <n v="31003"/>
    <n v="31247"/>
    <m/>
    <m/>
    <n v="2497"/>
    <n v="0"/>
    <n v="0"/>
    <n v="6126"/>
    <n v="0"/>
    <m/>
    <m/>
    <m/>
    <n v="0"/>
    <n v="0"/>
    <m/>
    <m/>
    <m/>
    <m/>
    <m/>
    <m/>
    <m/>
    <m/>
    <m/>
    <m/>
    <m/>
    <m/>
  </r>
  <r>
    <x v="5"/>
    <s v="University of Kentucky"/>
    <m/>
    <n v="157085"/>
    <x v="0"/>
    <n v="521460"/>
    <n v="539913"/>
    <n v="507053"/>
    <n v="521382"/>
    <n v="6607"/>
    <n v="2828"/>
    <n v="4691"/>
    <m/>
    <n v="3109"/>
    <n v="13218"/>
    <n v="1309"/>
    <n v="1176"/>
    <m/>
    <m/>
    <n v="78715"/>
    <n v="80488"/>
    <n v="68464"/>
    <n v="69004"/>
    <n v="6075"/>
    <n v="2949"/>
    <n v="3832"/>
    <m/>
    <n v="344"/>
    <n v="7841"/>
    <n v="340"/>
    <n v="354"/>
    <m/>
    <m/>
  </r>
  <r>
    <x v="5"/>
    <s v="University of Louisville"/>
    <m/>
    <n v="157289"/>
    <x v="0"/>
    <n v="389422"/>
    <n v="393895"/>
    <n v="358440"/>
    <n v="360400"/>
    <n v="9780"/>
    <n v="9053"/>
    <n v="21202"/>
    <m/>
    <n v="0"/>
    <n v="24442"/>
    <m/>
    <m/>
    <m/>
    <m/>
    <n v="76001"/>
    <n v="78088"/>
    <n v="68025"/>
    <n v="69917"/>
    <n v="3824"/>
    <n v="4189"/>
    <n v="4152"/>
    <m/>
    <m/>
    <n v="3982"/>
    <m/>
    <m/>
    <m/>
    <m/>
  </r>
  <r>
    <x v="5"/>
    <s v="Eastern Kentucky University "/>
    <m/>
    <n v="156620"/>
    <x v="2"/>
    <n v="374976"/>
    <n v="381237"/>
    <n v="299348"/>
    <n v="300117"/>
    <n v="28313"/>
    <n v="28339"/>
    <n v="38045"/>
    <n v="9270"/>
    <n v="0"/>
    <n v="44099"/>
    <n v="8682"/>
    <m/>
    <m/>
    <m/>
    <n v="33788"/>
    <n v="33745"/>
    <n v="20356"/>
    <n v="18517"/>
    <n v="1350"/>
    <n v="1363"/>
    <n v="10843"/>
    <n v="1239"/>
    <m/>
    <n v="12521"/>
    <n v="1344"/>
    <m/>
    <m/>
    <m/>
  </r>
  <r>
    <x v="5"/>
    <s v="Murray State University "/>
    <m/>
    <n v="157401"/>
    <x v="2"/>
    <n v="219921"/>
    <n v="220191"/>
    <n v="195731"/>
    <n v="193285"/>
    <n v="10599"/>
    <n v="8199"/>
    <n v="10333"/>
    <n v="3258"/>
    <n v="0"/>
    <n v="12583"/>
    <n v="6124"/>
    <m/>
    <m/>
    <m/>
    <n v="26257"/>
    <n v="29144"/>
    <n v="15150"/>
    <n v="16036"/>
    <n v="4530"/>
    <n v="3778"/>
    <n v="5656"/>
    <n v="921"/>
    <m/>
    <n v="7401"/>
    <n v="1929"/>
    <m/>
    <m/>
    <m/>
  </r>
  <r>
    <x v="5"/>
    <s v="Western Kentucky University "/>
    <m/>
    <n v="157951"/>
    <x v="2"/>
    <n v="452565"/>
    <n v="464035"/>
    <n v="355401"/>
    <n v="351307"/>
    <n v="37230"/>
    <n v="43182"/>
    <n v="49524"/>
    <n v="8638"/>
    <n v="1772"/>
    <n v="58991"/>
    <n v="9208"/>
    <n v="1347"/>
    <m/>
    <m/>
    <n v="40729"/>
    <n v="44392"/>
    <n v="19421"/>
    <n v="20075"/>
    <n v="2518"/>
    <n v="2496"/>
    <n v="18203"/>
    <n v="587"/>
    <m/>
    <n v="21169"/>
    <n v="636"/>
    <n v="16"/>
    <m/>
    <m/>
  </r>
  <r>
    <x v="5"/>
    <s v="Morehead State University "/>
    <s v="Reclassified: met the criteria for Four-Year 3 in 2008-09, 2009-10 and 2010-11."/>
    <n v="157386"/>
    <x v="2"/>
    <n v="186130"/>
    <n v="182291"/>
    <n v="135136"/>
    <n v="129758"/>
    <n v="14289"/>
    <n v="13378"/>
    <n v="28300"/>
    <n v="8405"/>
    <n v="0"/>
    <n v="30372"/>
    <n v="8783"/>
    <m/>
    <m/>
    <m/>
    <n v="19311"/>
    <n v="19998"/>
    <n v="5412"/>
    <n v="5255"/>
    <n v="642"/>
    <n v="378"/>
    <n v="12519"/>
    <n v="738"/>
    <m/>
    <n v="13378"/>
    <n v="987"/>
    <m/>
    <m/>
    <m/>
  </r>
  <r>
    <x v="5"/>
    <s v="Northern Kentucky University "/>
    <m/>
    <n v="157447"/>
    <x v="3"/>
    <n v="329480"/>
    <n v="331893"/>
    <n v="289848"/>
    <n v="286917"/>
    <n v="14100"/>
    <n v="13733"/>
    <n v="25532"/>
    <m/>
    <n v="0"/>
    <n v="31243"/>
    <m/>
    <m/>
    <m/>
    <m/>
    <n v="35949"/>
    <n v="37581"/>
    <n v="28331"/>
    <n v="29269"/>
    <n v="1087"/>
    <n v="1026"/>
    <n v="6531"/>
    <m/>
    <m/>
    <n v="7286"/>
    <m/>
    <m/>
    <m/>
    <m/>
  </r>
  <r>
    <x v="5"/>
    <s v="Kentucky State University "/>
    <s v="Reclassified: met the criteria for Four-Year 4 in 2008-09, 2009-10 and 2010-11."/>
    <n v="157058"/>
    <x v="3"/>
    <n v="63153"/>
    <n v="66536"/>
    <n v="56285"/>
    <n v="57442"/>
    <m/>
    <m/>
    <n v="6868"/>
    <n v="0"/>
    <m/>
    <n v="9085"/>
    <m/>
    <n v="9"/>
    <m/>
    <m/>
    <n v="2647"/>
    <n v="3518"/>
    <n v="1354"/>
    <n v="1808"/>
    <m/>
    <m/>
    <n v="1293"/>
    <m/>
    <m/>
    <n v="1710"/>
    <m/>
    <m/>
    <m/>
    <m/>
  </r>
  <r>
    <x v="5"/>
    <s v="Bluegrass Community and Technical College"/>
    <m/>
    <n v="157173"/>
    <x v="6"/>
    <n v="252253"/>
    <n v="279169"/>
    <n v="169193"/>
    <n v="179183"/>
    <n v="22531"/>
    <n v="28605"/>
    <n v="59368"/>
    <n v="1161"/>
    <n v="0"/>
    <n v="70516"/>
    <n v="865"/>
    <m/>
    <m/>
    <m/>
    <n v="0"/>
    <n v="0"/>
    <m/>
    <m/>
    <m/>
    <m/>
    <m/>
    <m/>
    <m/>
    <m/>
    <m/>
    <m/>
    <m/>
    <m/>
  </r>
  <r>
    <x v="5"/>
    <s v="Jefferson Community and Technical College "/>
    <m/>
    <n v="156921"/>
    <x v="6"/>
    <n v="256566"/>
    <n v="274026"/>
    <n v="198304"/>
    <n v="212295"/>
    <n v="15415"/>
    <n v="14192"/>
    <n v="41607"/>
    <n v="1240"/>
    <n v="0"/>
    <n v="46980"/>
    <n v="559"/>
    <m/>
    <m/>
    <m/>
    <n v="0"/>
    <n v="0"/>
    <m/>
    <m/>
    <m/>
    <m/>
    <m/>
    <m/>
    <m/>
    <m/>
    <m/>
    <m/>
    <m/>
    <m/>
  </r>
  <r>
    <x v="5"/>
    <s v="Ashland Community and Technical College"/>
    <m/>
    <n v="156231"/>
    <x v="7"/>
    <n v="75116"/>
    <n v="86918"/>
    <n v="53014"/>
    <n v="59880"/>
    <n v="9012"/>
    <n v="9337"/>
    <n v="13090"/>
    <m/>
    <n v="0"/>
    <n v="17701"/>
    <m/>
    <m/>
    <m/>
    <m/>
    <n v="0"/>
    <n v="0"/>
    <m/>
    <m/>
    <m/>
    <m/>
    <m/>
    <m/>
    <m/>
    <m/>
    <m/>
    <m/>
    <m/>
    <m/>
  </r>
  <r>
    <x v="5"/>
    <s v="Big Sandy Community and Technical College "/>
    <m/>
    <n v="157553"/>
    <x v="7"/>
    <n v="82437"/>
    <n v="93039"/>
    <n v="36329"/>
    <n v="41460"/>
    <n v="9650"/>
    <n v="11014"/>
    <n v="35927"/>
    <n v="531"/>
    <m/>
    <n v="40023"/>
    <n v="542"/>
    <m/>
    <m/>
    <m/>
    <n v="0"/>
    <n v="0"/>
    <m/>
    <m/>
    <m/>
    <m/>
    <m/>
    <m/>
    <m/>
    <m/>
    <m/>
    <m/>
    <m/>
    <m/>
  </r>
  <r>
    <x v="5"/>
    <s v="Elizabethtown Community and Technical College "/>
    <m/>
    <n v="156648"/>
    <x v="7"/>
    <n v="111450"/>
    <n v="129073"/>
    <n v="87040"/>
    <n v="98838"/>
    <n v="2835"/>
    <n v="2322"/>
    <n v="21575"/>
    <n v="0"/>
    <m/>
    <n v="27913"/>
    <m/>
    <m/>
    <m/>
    <m/>
    <n v="0"/>
    <n v="0"/>
    <m/>
    <m/>
    <m/>
    <m/>
    <m/>
    <m/>
    <m/>
    <m/>
    <m/>
    <m/>
    <m/>
    <m/>
  </r>
  <r>
    <x v="5"/>
    <s v="Madisonville Community College"/>
    <m/>
    <n v="157304"/>
    <x v="7"/>
    <n v="64167"/>
    <n v="64799"/>
    <n v="56324"/>
    <n v="53693"/>
    <n v="251"/>
    <n v="483"/>
    <n v="7553"/>
    <n v="39"/>
    <n v="0"/>
    <n v="10623"/>
    <m/>
    <m/>
    <m/>
    <m/>
    <n v="0"/>
    <n v="0"/>
    <m/>
    <m/>
    <m/>
    <m/>
    <m/>
    <m/>
    <m/>
    <m/>
    <m/>
    <m/>
    <m/>
    <m/>
  </r>
  <r>
    <x v="5"/>
    <s v="Maysville Community and Technical College "/>
    <m/>
    <n v="157331"/>
    <x v="7"/>
    <n v="87464"/>
    <n v="101898"/>
    <n v="33136"/>
    <n v="35727"/>
    <n v="12604"/>
    <n v="15957"/>
    <n v="40068"/>
    <n v="1656"/>
    <m/>
    <n v="47911"/>
    <n v="2303"/>
    <m/>
    <m/>
    <m/>
    <n v="0"/>
    <n v="0"/>
    <m/>
    <m/>
    <m/>
    <m/>
    <m/>
    <m/>
    <m/>
    <m/>
    <m/>
    <m/>
    <m/>
    <m/>
  </r>
  <r>
    <x v="5"/>
    <s v="Owensboro Community and Technical College "/>
    <m/>
    <n v="247940"/>
    <x v="7"/>
    <n v="89523"/>
    <n v="98974"/>
    <n v="81197"/>
    <n v="88307"/>
    <n v="775"/>
    <n v="820"/>
    <n v="7551"/>
    <m/>
    <n v="0"/>
    <n v="9847"/>
    <m/>
    <m/>
    <m/>
    <m/>
    <n v="0"/>
    <n v="0"/>
    <m/>
    <m/>
    <m/>
    <m/>
    <m/>
    <m/>
    <m/>
    <m/>
    <m/>
    <m/>
    <m/>
    <m/>
  </r>
  <r>
    <x v="5"/>
    <s v="Somerset Community and Technical College "/>
    <m/>
    <n v="157711"/>
    <x v="7"/>
    <n v="130919"/>
    <n v="164331"/>
    <n v="92916"/>
    <n v="102798"/>
    <n v="4297"/>
    <n v="5810"/>
    <n v="27523"/>
    <n v="6183"/>
    <n v="0"/>
    <n v="48956"/>
    <n v="6767"/>
    <m/>
    <m/>
    <m/>
    <n v="0"/>
    <n v="0"/>
    <m/>
    <m/>
    <m/>
    <m/>
    <m/>
    <m/>
    <m/>
    <m/>
    <m/>
    <m/>
    <m/>
    <m/>
  </r>
  <r>
    <x v="5"/>
    <s v="Southeast Kentucky Community and Technical College"/>
    <s v="Met the criteria for classification as a Two-Year 2 in 2010-11."/>
    <n v="157739"/>
    <x v="7"/>
    <n v="66403"/>
    <n v="76086"/>
    <n v="24532"/>
    <n v="26164"/>
    <n v="25438"/>
    <n v="28175"/>
    <n v="14928"/>
    <n v="1505"/>
    <n v="0"/>
    <n v="18930"/>
    <n v="2817"/>
    <m/>
    <m/>
    <m/>
    <n v="0"/>
    <n v="0"/>
    <m/>
    <m/>
    <m/>
    <m/>
    <m/>
    <m/>
    <m/>
    <m/>
    <m/>
    <m/>
    <m/>
    <m/>
  </r>
  <r>
    <x v="5"/>
    <s v="West Kentucky Community and Technical College"/>
    <m/>
    <n v="157483"/>
    <x v="7"/>
    <n v="107791"/>
    <n v="122445"/>
    <n v="75568"/>
    <n v="81396"/>
    <n v="3177"/>
    <n v="2607"/>
    <n v="28658"/>
    <n v="388"/>
    <m/>
    <n v="38046"/>
    <n v="396"/>
    <m/>
    <m/>
    <m/>
    <n v="0"/>
    <n v="0"/>
    <m/>
    <m/>
    <m/>
    <m/>
    <m/>
    <m/>
    <m/>
    <m/>
    <m/>
    <m/>
    <m/>
    <m/>
  </r>
  <r>
    <x v="5"/>
    <s v="Hazard Community and Technical College"/>
    <s v="Met the criteria for classification as a Two-Year 2 in 2010-11."/>
    <n v="156790"/>
    <x v="8"/>
    <n v="58419"/>
    <n v="69676"/>
    <n v="44466"/>
    <n v="50684"/>
    <n v="343"/>
    <n v="336"/>
    <n v="12262"/>
    <n v="1348"/>
    <m/>
    <n v="16928"/>
    <n v="1728"/>
    <m/>
    <m/>
    <m/>
    <n v="0"/>
    <n v="0"/>
    <m/>
    <m/>
    <m/>
    <m/>
    <m/>
    <m/>
    <m/>
    <m/>
    <m/>
    <m/>
    <m/>
    <m/>
  </r>
  <r>
    <x v="5"/>
    <s v="Henderson Community College "/>
    <m/>
    <n v="156851"/>
    <x v="8"/>
    <n v="40244"/>
    <n v="45194"/>
    <n v="24759"/>
    <n v="26790"/>
    <n v="567"/>
    <n v="939"/>
    <n v="14571"/>
    <n v="347"/>
    <m/>
    <n v="17071"/>
    <n v="394"/>
    <m/>
    <m/>
    <m/>
    <n v="0"/>
    <n v="0"/>
    <m/>
    <m/>
    <m/>
    <m/>
    <m/>
    <m/>
    <m/>
    <m/>
    <m/>
    <m/>
    <m/>
    <m/>
  </r>
  <r>
    <x v="5"/>
    <s v="Hopkinsville Community College "/>
    <s v="Met the criteria for Two-Year 2 in 2009-10 and 2010-11."/>
    <n v="156860"/>
    <x v="8"/>
    <n v="69001"/>
    <n v="75637"/>
    <n v="51219"/>
    <n v="55330"/>
    <n v="3051"/>
    <n v="2945"/>
    <n v="14731"/>
    <m/>
    <m/>
    <n v="17362"/>
    <m/>
    <m/>
    <m/>
    <m/>
    <n v="0"/>
    <n v="0"/>
    <m/>
    <m/>
    <m/>
    <m/>
    <m/>
    <m/>
    <m/>
    <m/>
    <m/>
    <m/>
    <m/>
    <m/>
  </r>
  <r>
    <x v="5"/>
    <s v="Bowling Green Technical College"/>
    <m/>
    <n v="156338"/>
    <x v="9"/>
    <n v="51294"/>
    <n v="67511"/>
    <n v="46158"/>
    <n v="59290"/>
    <n v="566"/>
    <n v="810"/>
    <n v="4570"/>
    <m/>
    <m/>
    <n v="7411"/>
    <m/>
    <m/>
    <m/>
    <m/>
    <n v="0"/>
    <n v="0"/>
    <m/>
    <m/>
    <m/>
    <m/>
    <m/>
    <m/>
    <m/>
    <m/>
    <m/>
    <m/>
    <m/>
    <m/>
  </r>
  <r>
    <x v="5"/>
    <s v="Gateway Community and Technical College"/>
    <m/>
    <n v="157438"/>
    <x v="9"/>
    <n v="59201"/>
    <n v="70022"/>
    <n v="58104"/>
    <n v="67062"/>
    <n v="0"/>
    <m/>
    <n v="1097"/>
    <m/>
    <m/>
    <n v="2960"/>
    <m/>
    <m/>
    <m/>
    <m/>
    <n v="0"/>
    <n v="0"/>
    <m/>
    <m/>
    <m/>
    <m/>
    <m/>
    <m/>
    <m/>
    <m/>
    <m/>
    <m/>
    <m/>
    <m/>
  </r>
  <r>
    <x v="6"/>
    <s v="Louisiana State University and A&amp;M College"/>
    <m/>
    <n v="159391"/>
    <x v="0"/>
    <n v="0"/>
    <n v="0"/>
    <m/>
    <m/>
    <m/>
    <m/>
    <m/>
    <m/>
    <m/>
    <m/>
    <m/>
    <m/>
    <m/>
    <m/>
    <n v="0"/>
    <n v="0"/>
    <m/>
    <m/>
    <m/>
    <m/>
    <m/>
    <m/>
    <m/>
    <m/>
    <m/>
    <m/>
    <m/>
    <m/>
  </r>
  <r>
    <x v="6"/>
    <s v="Louisiana Tech University "/>
    <m/>
    <n v="159647"/>
    <x v="1"/>
    <n v="0"/>
    <n v="0"/>
    <m/>
    <m/>
    <m/>
    <m/>
    <m/>
    <m/>
    <m/>
    <m/>
    <m/>
    <m/>
    <m/>
    <m/>
    <n v="0"/>
    <n v="0"/>
    <m/>
    <m/>
    <m/>
    <m/>
    <m/>
    <m/>
    <m/>
    <m/>
    <m/>
    <m/>
    <m/>
    <m/>
  </r>
  <r>
    <x v="6"/>
    <s v="University of Louisiana at Lafayette"/>
    <m/>
    <n v="160658"/>
    <x v="1"/>
    <n v="0"/>
    <n v="0"/>
    <m/>
    <m/>
    <m/>
    <m/>
    <m/>
    <m/>
    <m/>
    <m/>
    <m/>
    <m/>
    <m/>
    <m/>
    <n v="0"/>
    <n v="0"/>
    <m/>
    <m/>
    <m/>
    <m/>
    <m/>
    <m/>
    <m/>
    <m/>
    <m/>
    <m/>
    <m/>
    <m/>
  </r>
  <r>
    <x v="6"/>
    <s v="University of New Orleans"/>
    <m/>
    <n v="159939"/>
    <x v="1"/>
    <n v="0"/>
    <n v="0"/>
    <m/>
    <m/>
    <m/>
    <m/>
    <m/>
    <m/>
    <m/>
    <m/>
    <m/>
    <m/>
    <m/>
    <m/>
    <n v="0"/>
    <n v="0"/>
    <m/>
    <m/>
    <m/>
    <m/>
    <m/>
    <m/>
    <m/>
    <m/>
    <m/>
    <m/>
    <m/>
    <m/>
  </r>
  <r>
    <x v="6"/>
    <s v="Southeastern Louisiana University "/>
    <m/>
    <n v="160612"/>
    <x v="2"/>
    <n v="0"/>
    <n v="0"/>
    <m/>
    <m/>
    <m/>
    <m/>
    <m/>
    <m/>
    <m/>
    <m/>
    <m/>
    <m/>
    <m/>
    <m/>
    <n v="0"/>
    <n v="0"/>
    <m/>
    <m/>
    <m/>
    <m/>
    <m/>
    <m/>
    <m/>
    <m/>
    <m/>
    <m/>
    <m/>
    <m/>
  </r>
  <r>
    <x v="6"/>
    <s v="Southern University and A&amp;M College at Baton Rouge "/>
    <m/>
    <n v="160621"/>
    <x v="2"/>
    <n v="0"/>
    <n v="0"/>
    <m/>
    <m/>
    <m/>
    <m/>
    <m/>
    <m/>
    <m/>
    <m/>
    <m/>
    <m/>
    <m/>
    <m/>
    <n v="0"/>
    <n v="0"/>
    <m/>
    <m/>
    <m/>
    <m/>
    <m/>
    <m/>
    <m/>
    <m/>
    <m/>
    <m/>
    <m/>
    <m/>
  </r>
  <r>
    <x v="6"/>
    <s v="University of Louisiana at Monroe"/>
    <m/>
    <n v="159993"/>
    <x v="2"/>
    <n v="0"/>
    <n v="0"/>
    <m/>
    <m/>
    <m/>
    <m/>
    <m/>
    <m/>
    <m/>
    <m/>
    <m/>
    <m/>
    <m/>
    <m/>
    <n v="0"/>
    <n v="0"/>
    <m/>
    <m/>
    <m/>
    <m/>
    <m/>
    <m/>
    <m/>
    <m/>
    <m/>
    <m/>
    <m/>
    <m/>
  </r>
  <r>
    <x v="6"/>
    <s v="Grambling State University"/>
    <m/>
    <n v="159009"/>
    <x v="3"/>
    <n v="0"/>
    <n v="0"/>
    <m/>
    <m/>
    <m/>
    <m/>
    <m/>
    <m/>
    <m/>
    <m/>
    <m/>
    <m/>
    <m/>
    <m/>
    <n v="0"/>
    <n v="0"/>
    <m/>
    <m/>
    <m/>
    <m/>
    <m/>
    <m/>
    <m/>
    <m/>
    <m/>
    <m/>
    <m/>
    <m/>
  </r>
  <r>
    <x v="6"/>
    <s v="Louisiana State University in Shreveport"/>
    <m/>
    <n v="159416"/>
    <x v="3"/>
    <n v="0"/>
    <n v="0"/>
    <m/>
    <m/>
    <m/>
    <m/>
    <m/>
    <m/>
    <m/>
    <m/>
    <m/>
    <m/>
    <m/>
    <m/>
    <n v="0"/>
    <n v="0"/>
    <m/>
    <m/>
    <m/>
    <m/>
    <m/>
    <m/>
    <m/>
    <m/>
    <m/>
    <m/>
    <m/>
    <m/>
  </r>
  <r>
    <x v="6"/>
    <s v="McNeese State University"/>
    <m/>
    <n v="159717"/>
    <x v="3"/>
    <n v="0"/>
    <n v="0"/>
    <m/>
    <m/>
    <m/>
    <m/>
    <m/>
    <m/>
    <m/>
    <m/>
    <m/>
    <m/>
    <m/>
    <m/>
    <n v="0"/>
    <n v="0"/>
    <m/>
    <m/>
    <m/>
    <m/>
    <m/>
    <m/>
    <m/>
    <m/>
    <m/>
    <m/>
    <m/>
    <m/>
  </r>
  <r>
    <x v="6"/>
    <s v="Nicholls State University "/>
    <m/>
    <n v="159966"/>
    <x v="3"/>
    <n v="0"/>
    <n v="0"/>
    <m/>
    <m/>
    <m/>
    <m/>
    <m/>
    <m/>
    <m/>
    <m/>
    <m/>
    <m/>
    <m/>
    <m/>
    <n v="0"/>
    <n v="0"/>
    <m/>
    <m/>
    <m/>
    <m/>
    <m/>
    <m/>
    <m/>
    <m/>
    <m/>
    <m/>
    <m/>
    <m/>
  </r>
  <r>
    <x v="6"/>
    <s v="Northwestern State University"/>
    <m/>
    <n v="160038"/>
    <x v="3"/>
    <n v="0"/>
    <n v="0"/>
    <m/>
    <m/>
    <m/>
    <m/>
    <m/>
    <m/>
    <m/>
    <m/>
    <m/>
    <m/>
    <m/>
    <m/>
    <n v="0"/>
    <n v="0"/>
    <m/>
    <m/>
    <m/>
    <m/>
    <m/>
    <m/>
    <m/>
    <m/>
    <m/>
    <m/>
    <m/>
    <m/>
  </r>
  <r>
    <x v="6"/>
    <s v="Southern University at New Orleans"/>
    <s v="Met the criteria for Four-year 5 in 2010-11."/>
    <n v="160630"/>
    <x v="3"/>
    <n v="0"/>
    <n v="0"/>
    <m/>
    <m/>
    <m/>
    <m/>
    <m/>
    <m/>
    <m/>
    <m/>
    <m/>
    <m/>
    <m/>
    <m/>
    <n v="0"/>
    <n v="0"/>
    <m/>
    <m/>
    <m/>
    <m/>
    <m/>
    <m/>
    <m/>
    <m/>
    <m/>
    <m/>
    <m/>
    <m/>
  </r>
  <r>
    <x v="6"/>
    <s v="Louisiana State University at Alexandria"/>
    <s v="Met the criteria for Four-Year 6 in 2009-10 and 2010-11."/>
    <n v="159382"/>
    <x v="11"/>
    <n v="0"/>
    <n v="0"/>
    <m/>
    <m/>
    <m/>
    <m/>
    <m/>
    <m/>
    <m/>
    <m/>
    <m/>
    <m/>
    <m/>
    <m/>
    <n v="0"/>
    <n v="0"/>
    <m/>
    <m/>
    <m/>
    <m/>
    <m/>
    <m/>
    <m/>
    <m/>
    <m/>
    <m/>
    <m/>
    <m/>
  </r>
  <r>
    <x v="6"/>
    <s v="Louisiana State University at Alexandria"/>
    <s v="Met the criteria for Four-Year 6 in 2009-10 and 2010-11."/>
    <n v="159382"/>
    <x v="11"/>
    <n v="0"/>
    <n v="0"/>
    <m/>
    <m/>
    <m/>
    <m/>
    <m/>
    <m/>
    <m/>
    <m/>
    <m/>
    <m/>
    <m/>
    <m/>
    <n v="0"/>
    <n v="0"/>
    <m/>
    <m/>
    <m/>
    <m/>
    <m/>
    <m/>
    <m/>
    <m/>
    <m/>
    <m/>
    <m/>
    <m/>
  </r>
  <r>
    <x v="6"/>
    <s v="Baton Rouge Community College"/>
    <s v="Reclassified: Met criteria for Two-Year 1 in 2008-09, 2009-10 and 2010-11."/>
    <n v="437103"/>
    <x v="6"/>
    <n v="0"/>
    <n v="0"/>
    <m/>
    <m/>
    <m/>
    <m/>
    <m/>
    <m/>
    <m/>
    <m/>
    <m/>
    <m/>
    <m/>
    <m/>
    <n v="0"/>
    <n v="0"/>
    <m/>
    <m/>
    <m/>
    <m/>
    <m/>
    <m/>
    <m/>
    <m/>
    <m/>
    <m/>
    <m/>
    <m/>
  </r>
  <r>
    <x v="6"/>
    <s v="Delgado Community College "/>
    <s v="Now includes LTC-Jefferson Campus and LTC-W.Jefferson Campus"/>
    <n v="158662"/>
    <x v="6"/>
    <n v="0"/>
    <n v="0"/>
    <m/>
    <m/>
    <m/>
    <m/>
    <m/>
    <m/>
    <m/>
    <m/>
    <m/>
    <m/>
    <m/>
    <m/>
    <n v="0"/>
    <n v="0"/>
    <m/>
    <m/>
    <m/>
    <m/>
    <m/>
    <m/>
    <m/>
    <m/>
    <m/>
    <m/>
    <m/>
    <m/>
  </r>
  <r>
    <x v="6"/>
    <s v="Bossier Parish Community College"/>
    <s v="Met the criteria for Two-Year 1 in 2010-11."/>
    <n v="158431"/>
    <x v="7"/>
    <n v="0"/>
    <n v="0"/>
    <m/>
    <m/>
    <m/>
    <m/>
    <m/>
    <m/>
    <m/>
    <m/>
    <m/>
    <m/>
    <m/>
    <m/>
    <n v="0"/>
    <n v="0"/>
    <m/>
    <m/>
    <m/>
    <m/>
    <m/>
    <m/>
    <m/>
    <m/>
    <m/>
    <m/>
    <m/>
    <m/>
  </r>
  <r>
    <x v="6"/>
    <s v="Louisiana State University at Eunice"/>
    <m/>
    <n v="159407"/>
    <x v="7"/>
    <n v="0"/>
    <n v="0"/>
    <m/>
    <m/>
    <m/>
    <m/>
    <m/>
    <m/>
    <m/>
    <m/>
    <m/>
    <m/>
    <m/>
    <m/>
    <n v="0"/>
    <n v="0"/>
    <m/>
    <m/>
    <m/>
    <m/>
    <m/>
    <m/>
    <m/>
    <m/>
    <m/>
    <m/>
    <m/>
    <m/>
  </r>
  <r>
    <x v="6"/>
    <s v="South Louisiana Community College"/>
    <s v="Reclassified: Met criteria for Two-Year 2 in 2008-09, 2009-10 and 2010-11."/>
    <n v="434061"/>
    <x v="7"/>
    <n v="0"/>
    <n v="0"/>
    <m/>
    <m/>
    <m/>
    <m/>
    <m/>
    <m/>
    <m/>
    <m/>
    <m/>
    <m/>
    <m/>
    <m/>
    <n v="0"/>
    <n v="0"/>
    <m/>
    <m/>
    <m/>
    <m/>
    <m/>
    <m/>
    <m/>
    <m/>
    <m/>
    <m/>
    <m/>
    <m/>
  </r>
  <r>
    <x v="6"/>
    <s v="Louisiana Delta Community College"/>
    <s v="Now includes LTC Tallulah Campus"/>
    <n v="440624"/>
    <x v="8"/>
    <n v="0"/>
    <n v="0"/>
    <m/>
    <m/>
    <m/>
    <m/>
    <m/>
    <m/>
    <m/>
    <m/>
    <m/>
    <m/>
    <m/>
    <m/>
    <n v="0"/>
    <n v="0"/>
    <m/>
    <m/>
    <m/>
    <m/>
    <m/>
    <m/>
    <m/>
    <m/>
    <m/>
    <m/>
    <m/>
    <m/>
  </r>
  <r>
    <x v="6"/>
    <s v="Nunez Community College"/>
    <m/>
    <n v="158884"/>
    <x v="8"/>
    <n v="0"/>
    <n v="0"/>
    <m/>
    <m/>
    <m/>
    <m/>
    <m/>
    <m/>
    <m/>
    <m/>
    <m/>
    <m/>
    <m/>
    <m/>
    <n v="0"/>
    <n v="0"/>
    <m/>
    <m/>
    <m/>
    <m/>
    <m/>
    <m/>
    <m/>
    <m/>
    <m/>
    <m/>
    <m/>
    <m/>
  </r>
  <r>
    <x v="6"/>
    <s v="River Parishes Community College"/>
    <s v="Now includes LTC Ascension Campus"/>
    <n v="436304"/>
    <x v="8"/>
    <n v="0"/>
    <n v="0"/>
    <m/>
    <m/>
    <m/>
    <m/>
    <m/>
    <m/>
    <m/>
    <m/>
    <m/>
    <m/>
    <m/>
    <m/>
    <n v="0"/>
    <n v="0"/>
    <m/>
    <m/>
    <m/>
    <m/>
    <m/>
    <m/>
    <m/>
    <m/>
    <m/>
    <m/>
    <m/>
    <m/>
  </r>
  <r>
    <x v="6"/>
    <s v="Southern University in Shreveport"/>
    <s v="Met criteria for Two-Year 2 in 2009-10 and 2010-11."/>
    <n v="160649"/>
    <x v="8"/>
    <n v="0"/>
    <n v="0"/>
    <m/>
    <m/>
    <m/>
    <m/>
    <m/>
    <m/>
    <m/>
    <m/>
    <m/>
    <m/>
    <m/>
    <m/>
    <n v="0"/>
    <n v="0"/>
    <m/>
    <m/>
    <m/>
    <m/>
    <m/>
    <m/>
    <m/>
    <m/>
    <m/>
    <m/>
    <m/>
    <m/>
  </r>
  <r>
    <x v="6"/>
    <s v="Acadiana Technical College"/>
    <s v="Includes LTC Acadian, C.B. Coreil, Evangaline, Gulf Area, Lafayette, T.H. Harris and Teche Area Campuses"/>
    <m/>
    <x v="9"/>
    <n v="0"/>
    <n v="0"/>
    <m/>
    <m/>
    <m/>
    <m/>
    <m/>
    <m/>
    <m/>
    <m/>
    <m/>
    <m/>
    <m/>
    <m/>
    <n v="0"/>
    <n v="0"/>
    <m/>
    <m/>
    <m/>
    <m/>
    <m/>
    <m/>
    <m/>
    <m/>
    <m/>
    <m/>
    <m/>
    <m/>
  </r>
  <r>
    <x v="6"/>
    <s v="Capital Area Technical College"/>
    <s v="Includes LTC Baton Rouge, Folkes, Jumonville Memorial and Westside Campuses"/>
    <m/>
    <x v="9"/>
    <n v="0"/>
    <n v="0"/>
    <m/>
    <m/>
    <m/>
    <m/>
    <m/>
    <m/>
    <m/>
    <m/>
    <m/>
    <m/>
    <m/>
    <m/>
    <n v="0"/>
    <n v="0"/>
    <m/>
    <m/>
    <m/>
    <m/>
    <m/>
    <m/>
    <m/>
    <m/>
    <m/>
    <m/>
    <m/>
    <m/>
  </r>
  <r>
    <x v="6"/>
    <s v="Central LA Technical College"/>
    <s v="Includes LTC Alexandria, Avoyelles, Huey P. Long, Lamar-Salter, Morgan Smith, Oakdale and Shelby M. Jackson campuses"/>
    <m/>
    <x v="9"/>
    <n v="0"/>
    <n v="0"/>
    <m/>
    <m/>
    <m/>
    <m/>
    <m/>
    <m/>
    <m/>
    <m/>
    <m/>
    <m/>
    <m/>
    <m/>
    <n v="0"/>
    <n v="0"/>
    <m/>
    <m/>
    <m/>
    <m/>
    <m/>
    <m/>
    <m/>
    <m/>
    <m/>
    <m/>
    <m/>
    <m/>
  </r>
  <r>
    <x v="6"/>
    <s v="Northeast Technical College"/>
    <s v="Includes LTC Bastrop, Delta/Ouachita, North Central, Northeast Louisiana and Ruston Campuses"/>
    <m/>
    <x v="9"/>
    <n v="0"/>
    <n v="0"/>
    <m/>
    <m/>
    <m/>
    <m/>
    <m/>
    <m/>
    <m/>
    <m/>
    <m/>
    <m/>
    <m/>
    <m/>
    <n v="0"/>
    <n v="0"/>
    <m/>
    <m/>
    <m/>
    <m/>
    <m/>
    <m/>
    <m/>
    <m/>
    <m/>
    <m/>
    <m/>
    <m/>
  </r>
  <r>
    <x v="6"/>
    <s v="Northshore Technical College"/>
    <s v="Includes LTC Florida Parishes, Hammond Area and Sullivan Campuses"/>
    <m/>
    <x v="9"/>
    <n v="0"/>
    <n v="0"/>
    <m/>
    <m/>
    <m/>
    <m/>
    <m/>
    <m/>
    <m/>
    <m/>
    <m/>
    <m/>
    <m/>
    <m/>
    <n v="0"/>
    <n v="0"/>
    <m/>
    <m/>
    <m/>
    <m/>
    <m/>
    <m/>
    <m/>
    <m/>
    <m/>
    <m/>
    <m/>
    <m/>
  </r>
  <r>
    <x v="6"/>
    <s v="Northwest LA Technical College"/>
    <s v="Includes LTC Mansfield, Nachitoches, Northwest Louisiana, Sabine Valley and Shreveport/Bossier campuses."/>
    <m/>
    <x v="9"/>
    <n v="0"/>
    <n v="0"/>
    <m/>
    <m/>
    <m/>
    <m/>
    <m/>
    <m/>
    <m/>
    <m/>
    <m/>
    <m/>
    <m/>
    <m/>
    <n v="0"/>
    <n v="0"/>
    <m/>
    <m/>
    <m/>
    <m/>
    <m/>
    <m/>
    <m/>
    <m/>
    <m/>
    <m/>
    <m/>
    <m/>
  </r>
  <r>
    <x v="6"/>
    <s v="South Central LA Technical College"/>
    <s v="Includes LTC Laforuche, Rivers Parishes and Young Memorial Campuses"/>
    <m/>
    <x v="9"/>
    <n v="0"/>
    <n v="0"/>
    <m/>
    <m/>
    <m/>
    <m/>
    <m/>
    <m/>
    <m/>
    <m/>
    <m/>
    <m/>
    <m/>
    <m/>
    <n v="0"/>
    <n v="0"/>
    <m/>
    <m/>
    <m/>
    <m/>
    <m/>
    <m/>
    <m/>
    <m/>
    <m/>
    <m/>
    <m/>
    <m/>
  </r>
  <r>
    <x v="6"/>
    <s v="Sowela Technical Community College"/>
    <m/>
    <n v="160579"/>
    <x v="9"/>
    <n v="0"/>
    <n v="0"/>
    <m/>
    <m/>
    <m/>
    <m/>
    <m/>
    <m/>
    <m/>
    <m/>
    <m/>
    <m/>
    <m/>
    <m/>
    <n v="0"/>
    <n v="0"/>
    <m/>
    <m/>
    <m/>
    <m/>
    <m/>
    <m/>
    <m/>
    <m/>
    <m/>
    <m/>
    <m/>
    <m/>
  </r>
  <r>
    <x v="6"/>
    <s v="L.E. Fletcher Technical Community College"/>
    <s v="Met the criteria for Technical Institute or College 1 in 2009-10 and 2010-11."/>
    <n v="160481"/>
    <x v="10"/>
    <n v="0"/>
    <n v="0"/>
    <m/>
    <m/>
    <m/>
    <m/>
    <m/>
    <m/>
    <m/>
    <m/>
    <m/>
    <m/>
    <m/>
    <m/>
    <n v="0"/>
    <n v="0"/>
    <m/>
    <m/>
    <m/>
    <m/>
    <m/>
    <m/>
    <m/>
    <m/>
    <m/>
    <m/>
    <m/>
    <m/>
  </r>
  <r>
    <x v="7"/>
    <s v="University of Maryland College Park"/>
    <m/>
    <n v="163286"/>
    <x v="0"/>
    <n v="791533.5"/>
    <n v="799218"/>
    <n v="768245.5"/>
    <n v="771256"/>
    <n v="16125"/>
    <n v="16898"/>
    <n v="6812"/>
    <n v="351"/>
    <m/>
    <n v="10719"/>
    <n v="345"/>
    <m/>
    <m/>
    <m/>
    <n v="154875"/>
    <n v="156544.5"/>
    <n v="116375"/>
    <n v="115130.5"/>
    <n v="32673"/>
    <n v="35031"/>
    <n v="4988"/>
    <n v="839"/>
    <m/>
    <n v="5393"/>
    <n v="990"/>
    <m/>
    <m/>
    <m/>
  </r>
  <r>
    <x v="7"/>
    <s v="University of Maryland, Baltimore County"/>
    <m/>
    <n v="163268"/>
    <x v="1"/>
    <n v="269872"/>
    <n v="290420.5"/>
    <n v="251849"/>
    <n v="262511.5"/>
    <n v="5587"/>
    <n v="5732"/>
    <n v="12436"/>
    <m/>
    <m/>
    <n v="22177"/>
    <m/>
    <m/>
    <m/>
    <m/>
    <n v="31112"/>
    <n v="35406"/>
    <n v="23732"/>
    <n v="26415"/>
    <n v="1951"/>
    <n v="2985"/>
    <n v="5429"/>
    <m/>
    <m/>
    <n v="5494"/>
    <n v="444"/>
    <n v="68"/>
    <m/>
    <m/>
  </r>
  <r>
    <x v="7"/>
    <s v="Morgan State University"/>
    <s v="Met the criteria for  Four-Year 2 in 2009-10 and 2010-11."/>
    <n v="163453"/>
    <x v="2"/>
    <n v="168327"/>
    <n v="181220"/>
    <n v="165150"/>
    <n v="180110"/>
    <n v="2672"/>
    <n v="408"/>
    <n v="505"/>
    <m/>
    <m/>
    <n v="702"/>
    <m/>
    <m/>
    <m/>
    <m/>
    <n v="15521"/>
    <n v="17903"/>
    <n v="15238"/>
    <n v="16748"/>
    <n v="166"/>
    <n v="585"/>
    <n v="117"/>
    <m/>
    <m/>
    <n v="570"/>
    <m/>
    <m/>
    <m/>
    <m/>
  </r>
  <r>
    <x v="7"/>
    <s v="Towson University "/>
    <m/>
    <n v="164076"/>
    <x v="2"/>
    <n v="497207.5"/>
    <n v="506715.5"/>
    <n v="471868.5"/>
    <n v="471904.5"/>
    <n v="7816"/>
    <n v="9687"/>
    <n v="17523"/>
    <m/>
    <m/>
    <n v="25124"/>
    <m/>
    <m/>
    <m/>
    <m/>
    <n v="54797"/>
    <n v="58131.5"/>
    <n v="33561"/>
    <n v="35962.5"/>
    <n v="16660"/>
    <n v="15930"/>
    <n v="4576"/>
    <m/>
    <m/>
    <n v="6098"/>
    <n v="141"/>
    <m/>
    <m/>
    <m/>
  </r>
  <r>
    <x v="7"/>
    <s v="Bowie State University "/>
    <m/>
    <n v="162007"/>
    <x v="3"/>
    <n v="121611"/>
    <n v="121720"/>
    <n v="115315"/>
    <n v="112688"/>
    <n v="288"/>
    <n v="905"/>
    <n v="5555"/>
    <n v="453"/>
    <n v="0"/>
    <n v="8127"/>
    <m/>
    <m/>
    <m/>
    <m/>
    <n v="16888"/>
    <n v="16332"/>
    <n v="15478"/>
    <n v="15461"/>
    <n v="654"/>
    <n v="340"/>
    <n v="756"/>
    <m/>
    <m/>
    <n v="531"/>
    <m/>
    <m/>
    <m/>
    <m/>
  </r>
  <r>
    <x v="7"/>
    <s v="Coppin State University"/>
    <s v="Met the criteria for Four-Year 5 in 2010-11."/>
    <n v="162283"/>
    <x v="3"/>
    <n v="86915"/>
    <n v="93467"/>
    <n v="79181"/>
    <n v="85096"/>
    <n v="45"/>
    <n v="0"/>
    <n v="7689"/>
    <m/>
    <m/>
    <n v="8371"/>
    <m/>
    <m/>
    <m/>
    <m/>
    <n v="8880"/>
    <n v="7544"/>
    <n v="5673"/>
    <n v="5601"/>
    <n v="2567"/>
    <n v="1035"/>
    <n v="640"/>
    <m/>
    <m/>
    <n v="908"/>
    <m/>
    <m/>
    <m/>
    <m/>
  </r>
  <r>
    <x v="7"/>
    <s v="Frostburg State University "/>
    <m/>
    <n v="162584"/>
    <x v="3"/>
    <n v="132959"/>
    <n v="137084"/>
    <n v="119838"/>
    <n v="122380"/>
    <n v="2126"/>
    <n v="1978"/>
    <n v="10791"/>
    <n v="204"/>
    <m/>
    <n v="12660"/>
    <n v="66"/>
    <m/>
    <m/>
    <m/>
    <n v="10600"/>
    <n v="11123"/>
    <n v="4739"/>
    <n v="4607"/>
    <n v="2614"/>
    <n v="2741"/>
    <n v="2995"/>
    <n v="252"/>
    <m/>
    <n v="3646"/>
    <n v="129"/>
    <m/>
    <m/>
    <m/>
  </r>
  <r>
    <x v="7"/>
    <s v="Salisbury University "/>
    <m/>
    <n v="163851"/>
    <x v="3"/>
    <n v="221268"/>
    <n v="226113"/>
    <n v="207647"/>
    <n v="209991"/>
    <n v="1705"/>
    <n v="1472"/>
    <n v="11138"/>
    <n v="778"/>
    <m/>
    <n v="13671"/>
    <n v="979"/>
    <m/>
    <m/>
    <m/>
    <n v="10102"/>
    <n v="9829"/>
    <n v="7641"/>
    <n v="6259"/>
    <n v="333"/>
    <n v="174"/>
    <n v="989"/>
    <n v="1139"/>
    <m/>
    <n v="2091"/>
    <n v="1305"/>
    <m/>
    <m/>
    <m/>
  </r>
  <r>
    <x v="7"/>
    <s v="University of Baltimore"/>
    <m/>
    <n v="161873"/>
    <x v="3"/>
    <n v="62168"/>
    <n v="69333"/>
    <n v="49310"/>
    <n v="55373"/>
    <n v="957"/>
    <n v="1359"/>
    <n v="11901"/>
    <m/>
    <m/>
    <n v="12601"/>
    <m/>
    <m/>
    <m/>
    <m/>
    <n v="58317"/>
    <n v="137530"/>
    <n v="46660"/>
    <n v="46305"/>
    <n v="3413"/>
    <n v="2255"/>
    <n v="8244"/>
    <m/>
    <m/>
    <n v="88970"/>
    <m/>
    <m/>
    <m/>
    <m/>
  </r>
  <r>
    <x v="7"/>
    <s v="University of Maryland Eastern Shore "/>
    <m/>
    <n v="163338"/>
    <x v="3"/>
    <n v="112051"/>
    <n v="117477"/>
    <n v="106313"/>
    <n v="111235"/>
    <n v="2046"/>
    <n v="2276"/>
    <n v="3692"/>
    <m/>
    <m/>
    <n v="3966"/>
    <m/>
    <m/>
    <m/>
    <m/>
    <n v="7677"/>
    <n v="9092"/>
    <n v="7379"/>
    <n v="8756"/>
    <n v="175"/>
    <n v="192"/>
    <n v="123"/>
    <m/>
    <m/>
    <n v="144"/>
    <m/>
    <m/>
    <m/>
    <m/>
  </r>
  <r>
    <x v="7"/>
    <s v="Saint Mary's College of Maryland"/>
    <s v="Met the criteria for Four-Year 5 in 2010-11."/>
    <n v="163912"/>
    <x v="5"/>
    <n v="61956"/>
    <n v="62834.5"/>
    <n v="61956"/>
    <n v="62834.5"/>
    <m/>
    <n v="0"/>
    <m/>
    <m/>
    <m/>
    <m/>
    <m/>
    <m/>
    <m/>
    <m/>
    <n v="1900"/>
    <n v="1937"/>
    <n v="1900"/>
    <n v="1937"/>
    <m/>
    <m/>
    <m/>
    <m/>
    <m/>
    <m/>
    <m/>
    <m/>
    <m/>
    <m/>
  </r>
  <r>
    <x v="7"/>
    <s v="Anne Arundel Community College "/>
    <m/>
    <n v="161767"/>
    <x v="6"/>
    <n v="303331"/>
    <n v="329974.5"/>
    <n v="237469"/>
    <n v="251912.5"/>
    <n v="5079"/>
    <n v="4804"/>
    <n v="59508"/>
    <n v="324"/>
    <n v="951"/>
    <n v="72439"/>
    <n v="297"/>
    <n v="522"/>
    <m/>
    <m/>
    <n v="0"/>
    <n v="0"/>
    <m/>
    <m/>
    <m/>
    <m/>
    <m/>
    <m/>
    <m/>
    <m/>
    <m/>
    <m/>
    <m/>
    <m/>
  </r>
  <r>
    <x v="7"/>
    <s v="Community College of Baltimore County (all campuses)"/>
    <m/>
    <n v="434672"/>
    <x v="6"/>
    <n v="420006"/>
    <n v="477384"/>
    <n v="339948"/>
    <n v="389931.5"/>
    <n v="34410"/>
    <n v="34196"/>
    <n v="45270"/>
    <n v="378"/>
    <m/>
    <n v="52725.5"/>
    <n v="531"/>
    <m/>
    <m/>
    <m/>
    <n v="0"/>
    <n v="0"/>
    <m/>
    <m/>
    <m/>
    <m/>
    <m/>
    <m/>
    <m/>
    <m/>
    <m/>
    <m/>
    <m/>
    <m/>
  </r>
  <r>
    <x v="7"/>
    <s v="Montgomery College (all campuses)"/>
    <m/>
    <n v="163426"/>
    <x v="6"/>
    <n v="634842"/>
    <n v="561477.19999999995"/>
    <n v="518683"/>
    <n v="506365"/>
    <n v="76223"/>
    <n v="23862.2"/>
    <n v="39936"/>
    <m/>
    <m/>
    <n v="31250"/>
    <m/>
    <m/>
    <m/>
    <m/>
    <n v="0"/>
    <n v="0"/>
    <m/>
    <m/>
    <m/>
    <m/>
    <m/>
    <m/>
    <m/>
    <m/>
    <m/>
    <m/>
    <m/>
    <m/>
  </r>
  <r>
    <x v="7"/>
    <s v="Prince George's Community College "/>
    <m/>
    <n v="163657"/>
    <x v="6"/>
    <n v="237561"/>
    <n v="388272"/>
    <n v="173689"/>
    <n v="228085"/>
    <n v="30870"/>
    <n v="121383"/>
    <n v="33002"/>
    <m/>
    <m/>
    <n v="38804"/>
    <m/>
    <m/>
    <m/>
    <m/>
    <n v="0"/>
    <n v="0"/>
    <m/>
    <m/>
    <m/>
    <m/>
    <m/>
    <m/>
    <m/>
    <m/>
    <m/>
    <m/>
    <m/>
    <m/>
  </r>
  <r>
    <x v="7"/>
    <s v="Allegany College of Maryland"/>
    <m/>
    <n v="161688"/>
    <x v="7"/>
    <n v="78413"/>
    <n v="75761"/>
    <n v="52502"/>
    <n v="55090"/>
    <n v="16566"/>
    <n v="15078"/>
    <n v="7269"/>
    <n v="1851"/>
    <n v="225"/>
    <n v="3523"/>
    <n v="2070"/>
    <m/>
    <m/>
    <m/>
    <n v="0"/>
    <n v="0"/>
    <m/>
    <m/>
    <m/>
    <m/>
    <m/>
    <m/>
    <m/>
    <m/>
    <m/>
    <m/>
    <m/>
    <m/>
  </r>
  <r>
    <x v="7"/>
    <s v="Baltimore City Community College"/>
    <m/>
    <n v="161864"/>
    <x v="7"/>
    <n v="141341"/>
    <n v="147566"/>
    <n v="114280"/>
    <n v="117477"/>
    <n v="3253"/>
    <n v="4072"/>
    <n v="23808"/>
    <m/>
    <m/>
    <n v="26017"/>
    <m/>
    <m/>
    <m/>
    <m/>
    <n v="0"/>
    <n v="0"/>
    <m/>
    <m/>
    <m/>
    <m/>
    <m/>
    <m/>
    <m/>
    <m/>
    <m/>
    <m/>
    <m/>
    <m/>
  </r>
  <r>
    <x v="7"/>
    <s v="College of Southern Maryland"/>
    <s v="Met the criteria for Two-Year 1 in 2009-10 and 2010-11."/>
    <n v="162122"/>
    <x v="7"/>
    <n v="157309"/>
    <n v="164066"/>
    <n v="114172"/>
    <n v="112750"/>
    <n v="3244"/>
    <n v="3789"/>
    <n v="37304"/>
    <n v="794"/>
    <n v="1795"/>
    <n v="45293"/>
    <n v="1342"/>
    <n v="892"/>
    <m/>
    <m/>
    <n v="0"/>
    <n v="0"/>
    <m/>
    <m/>
    <m/>
    <m/>
    <m/>
    <m/>
    <m/>
    <m/>
    <m/>
    <m/>
    <m/>
    <m/>
  </r>
  <r>
    <x v="7"/>
    <s v="Frederick Community College "/>
    <m/>
    <n v="162557"/>
    <x v="7"/>
    <n v="74785"/>
    <n v="122265"/>
    <n v="55337"/>
    <n v="104884"/>
    <n v="5020"/>
    <n v="2237"/>
    <n v="14428"/>
    <m/>
    <m/>
    <n v="15144"/>
    <m/>
    <m/>
    <m/>
    <m/>
    <n v="0"/>
    <n v="0"/>
    <m/>
    <m/>
    <m/>
    <m/>
    <m/>
    <m/>
    <m/>
    <m/>
    <m/>
    <m/>
    <m/>
    <m/>
  </r>
  <r>
    <x v="7"/>
    <s v="Hagerstown Community College "/>
    <m/>
    <n v="162690"/>
    <x v="7"/>
    <n v="86223"/>
    <n v="92895"/>
    <n v="68995"/>
    <n v="74662"/>
    <n v="7018"/>
    <n v="5942"/>
    <n v="9817"/>
    <n v="0"/>
    <n v="252"/>
    <n v="12039"/>
    <m/>
    <n v="147"/>
    <n v="141"/>
    <n v="105"/>
    <n v="0"/>
    <n v="0"/>
    <m/>
    <m/>
    <m/>
    <m/>
    <m/>
    <m/>
    <m/>
    <m/>
    <m/>
    <m/>
    <m/>
    <m/>
  </r>
  <r>
    <x v="7"/>
    <s v="Harford Community College "/>
    <m/>
    <n v="162706"/>
    <x v="7"/>
    <n v="123442"/>
    <n v="133500.5"/>
    <n v="104332.5"/>
    <n v="106584"/>
    <n v="1424"/>
    <n v="1777"/>
    <n v="17685.5"/>
    <m/>
    <m/>
    <n v="25139.5"/>
    <m/>
    <m/>
    <m/>
    <m/>
    <n v="0"/>
    <n v="0"/>
    <m/>
    <m/>
    <m/>
    <m/>
    <m/>
    <m/>
    <m/>
    <m/>
    <m/>
    <m/>
    <m/>
    <m/>
  </r>
  <r>
    <x v="7"/>
    <s v="Howard Community College "/>
    <s v="Met the criteria for Two-Year 1 in 2009-10 and 2010-11."/>
    <n v="162779"/>
    <x v="7"/>
    <n v="159884"/>
    <n v="177846"/>
    <n v="142555"/>
    <n v="156256"/>
    <n v="5362"/>
    <n v="7255"/>
    <n v="11403"/>
    <n v="66"/>
    <n v="498"/>
    <n v="13747"/>
    <n v="9"/>
    <n v="579"/>
    <m/>
    <m/>
    <n v="0"/>
    <n v="0"/>
    <m/>
    <m/>
    <m/>
    <m/>
    <m/>
    <m/>
    <m/>
    <m/>
    <m/>
    <m/>
    <m/>
    <m/>
  </r>
  <r>
    <x v="7"/>
    <s v="Carroll Community College"/>
    <s v="Reclassified: Met the criteria for Two-Year 2 in 2008-09, 2009-10 and 2010-11."/>
    <n v="405872"/>
    <x v="7"/>
    <n v="64893"/>
    <n v="79864"/>
    <n v="57634"/>
    <n v="71008"/>
    <n v="0"/>
    <n v="0"/>
    <n v="7160"/>
    <n v="99"/>
    <m/>
    <n v="8727"/>
    <n v="129"/>
    <m/>
    <n v="0"/>
    <m/>
    <n v="0"/>
    <n v="0"/>
    <m/>
    <m/>
    <m/>
    <m/>
    <m/>
    <m/>
    <m/>
    <m/>
    <m/>
    <m/>
    <m/>
    <m/>
  </r>
  <r>
    <x v="7"/>
    <s v="Cecil Community College "/>
    <m/>
    <n v="162104"/>
    <x v="8"/>
    <n v="45023.5"/>
    <n v="48917.5"/>
    <n v="38768.5"/>
    <n v="40188.5"/>
    <n v="1191"/>
    <n v="1130"/>
    <n v="5064"/>
    <m/>
    <m/>
    <n v="7599"/>
    <m/>
    <m/>
    <m/>
    <m/>
    <n v="0"/>
    <n v="0"/>
    <m/>
    <m/>
    <m/>
    <m/>
    <m/>
    <m/>
    <m/>
    <m/>
    <m/>
    <m/>
    <m/>
    <m/>
  </r>
  <r>
    <x v="7"/>
    <s v="Chesapeake College "/>
    <m/>
    <n v="162168"/>
    <x v="8"/>
    <n v="50464"/>
    <n v="54337"/>
    <n v="35423"/>
    <n v="37715"/>
    <n v="8221"/>
    <n v="9220"/>
    <n v="5878"/>
    <n v="942"/>
    <m/>
    <n v="6329"/>
    <n v="1043"/>
    <m/>
    <m/>
    <n v="30"/>
    <n v="0"/>
    <n v="0"/>
    <m/>
    <m/>
    <m/>
    <m/>
    <m/>
    <m/>
    <m/>
    <m/>
    <m/>
    <m/>
    <m/>
    <m/>
  </r>
  <r>
    <x v="7"/>
    <s v="Garrett College "/>
    <m/>
    <n v="162609"/>
    <x v="8"/>
    <n v="19093.55"/>
    <n v="20422.75"/>
    <n v="16163.55"/>
    <n v="16790.75"/>
    <n v="1308"/>
    <n v="1276"/>
    <n v="1339"/>
    <n v="283"/>
    <m/>
    <n v="2125"/>
    <n v="231"/>
    <m/>
    <m/>
    <m/>
    <n v="0"/>
    <n v="0"/>
    <m/>
    <m/>
    <m/>
    <m/>
    <m/>
    <m/>
    <m/>
    <m/>
    <m/>
    <m/>
    <m/>
    <m/>
  </r>
  <r>
    <x v="7"/>
    <s v="Wor-Wic Community College "/>
    <s v="Reclassified: Met the criteria for Two-Year 2 in 2008-09, 2009-10 and 2010-11."/>
    <n v="164313"/>
    <x v="7"/>
    <n v="73693"/>
    <n v="77350"/>
    <n v="64007"/>
    <n v="67409"/>
    <n v="1294"/>
    <n v="1211"/>
    <n v="8362"/>
    <n v="30"/>
    <n v="0"/>
    <n v="8658"/>
    <n v="72"/>
    <m/>
    <m/>
    <m/>
    <n v="0"/>
    <n v="0"/>
    <m/>
    <m/>
    <m/>
    <m/>
    <m/>
    <m/>
    <m/>
    <m/>
    <m/>
    <m/>
    <m/>
    <m/>
  </r>
  <r>
    <x v="7"/>
    <s v="University of Maryland University College"/>
    <m/>
    <n v="163204"/>
    <x v="13"/>
    <n v="384318"/>
    <n v="422643"/>
    <n v="0"/>
    <n v="0"/>
    <n v="55546"/>
    <n v="57209"/>
    <n v="328772"/>
    <m/>
    <m/>
    <n v="365434"/>
    <m/>
    <m/>
    <m/>
    <m/>
    <n v="159416"/>
    <n v="173875"/>
    <n v="0"/>
    <m/>
    <n v="5001"/>
    <m/>
    <n v="154415"/>
    <m/>
    <m/>
    <n v="173875"/>
    <m/>
    <m/>
    <m/>
    <m/>
  </r>
  <r>
    <x v="8"/>
    <s v="Mississippi State University"/>
    <m/>
    <n v="176080"/>
    <x v="0"/>
    <n v="398852"/>
    <n v="418441"/>
    <n v="367041"/>
    <n v="384596"/>
    <n v="12877"/>
    <n v="11858"/>
    <n v="16125"/>
    <n v="324"/>
    <n v="496"/>
    <n v="21750"/>
    <n v="159"/>
    <n v="78"/>
    <n v="1989"/>
    <m/>
    <n v="60525"/>
    <n v="64561"/>
    <n v="45166"/>
    <n v="48053"/>
    <n v="3303"/>
    <n v="2945"/>
    <n v="11717"/>
    <n v="315"/>
    <n v="18"/>
    <n v="13172"/>
    <n v="388"/>
    <n v="3"/>
    <n v="6"/>
    <m/>
  </r>
  <r>
    <x v="8"/>
    <s v="University of Southern Mississippi"/>
    <m/>
    <n v="176372"/>
    <x v="0"/>
    <n v="341859"/>
    <n v="342644"/>
    <n v="273586"/>
    <n v="271156"/>
    <n v="37588"/>
    <n v="37295"/>
    <n v="28235"/>
    <n v="416"/>
    <n v="2034"/>
    <n v="31314"/>
    <n v="317"/>
    <n v="2562"/>
    <m/>
    <m/>
    <n v="61276"/>
    <n v="59544"/>
    <n v="41915"/>
    <n v="37332"/>
    <n v="7134"/>
    <n v="5629"/>
    <n v="11914"/>
    <n v="310"/>
    <n v="3"/>
    <n v="16379"/>
    <n v="201"/>
    <n v="3"/>
    <m/>
    <m/>
  </r>
  <r>
    <x v="8"/>
    <s v="Jackson State University "/>
    <m/>
    <n v="175856"/>
    <x v="1"/>
    <n v="151394"/>
    <n v="162509.5"/>
    <n v="141291"/>
    <n v="147783.5"/>
    <n v="5751"/>
    <n v="11221"/>
    <n v="4352"/>
    <m/>
    <m/>
    <n v="3505"/>
    <m/>
    <m/>
    <m/>
    <m/>
    <n v="27498"/>
    <n v="30916.5"/>
    <n v="19342"/>
    <n v="20721.5"/>
    <n v="6577"/>
    <n v="9569"/>
    <n v="1579"/>
    <m/>
    <m/>
    <n v="626"/>
    <m/>
    <m/>
    <m/>
    <m/>
  </r>
  <r>
    <x v="8"/>
    <s v="University of Mississippi"/>
    <m/>
    <n v="176017"/>
    <x v="1"/>
    <n v="382246"/>
    <n v="414725"/>
    <n v="342784"/>
    <n v="372564"/>
    <n v="22493"/>
    <n v="24938"/>
    <n v="7300"/>
    <n v="9666"/>
    <s v=" "/>
    <n v="8951"/>
    <n v="8266"/>
    <m/>
    <n v="3"/>
    <n v="6"/>
    <n v="56168"/>
    <n v="56846"/>
    <n v="50220"/>
    <n v="51344"/>
    <n v="3848"/>
    <n v="2643"/>
    <n v="1197"/>
    <n v="903"/>
    <m/>
    <n v="1812"/>
    <n v="1044"/>
    <m/>
    <m/>
    <n v="3"/>
  </r>
  <r>
    <x v="8"/>
    <s v="Alcorn State University"/>
    <m/>
    <n v="175342"/>
    <x v="3"/>
    <n v="77173"/>
    <n v="84461"/>
    <n v="69408"/>
    <n v="72596"/>
    <m/>
    <m/>
    <n v="7624"/>
    <m/>
    <n v="141"/>
    <n v="11651"/>
    <s v=" "/>
    <n v="192"/>
    <m/>
    <n v="22"/>
    <n v="10253"/>
    <n v="12210"/>
    <n v="6502"/>
    <n v="7084"/>
    <m/>
    <m/>
    <n v="3721"/>
    <m/>
    <n v="30"/>
    <n v="5087"/>
    <m/>
    <n v="39"/>
    <m/>
    <m/>
  </r>
  <r>
    <x v="8"/>
    <s v="Delta State University"/>
    <m/>
    <n v="175616"/>
    <x v="3"/>
    <n v="78580"/>
    <n v="77725"/>
    <n v="66961"/>
    <n v="62670.5"/>
    <n v="1782"/>
    <n v="2610"/>
    <n v="9837"/>
    <m/>
    <m/>
    <n v="12435.5"/>
    <m/>
    <m/>
    <m/>
    <n v="9"/>
    <n v="14059"/>
    <n v="19448"/>
    <n v="6809"/>
    <n v="10402"/>
    <n v="847"/>
    <n v="291"/>
    <n v="6343"/>
    <m/>
    <n v="60"/>
    <n v="8755"/>
    <m/>
    <m/>
    <m/>
    <m/>
  </r>
  <r>
    <x v="8"/>
    <s v="Mississippi Valley State University"/>
    <m/>
    <n v="176044"/>
    <x v="3"/>
    <n v="69930"/>
    <n v="66168"/>
    <n v="58749"/>
    <n v="57652"/>
    <n v="2652"/>
    <n v="2091"/>
    <n v="7362"/>
    <m/>
    <n v="321"/>
    <n v="5042"/>
    <m/>
    <n v="372"/>
    <n v="846"/>
    <n v="1011"/>
    <n v="6437"/>
    <n v="6652"/>
    <n v="4756"/>
    <n v="5006"/>
    <n v="753"/>
    <n v="408"/>
    <n v="754"/>
    <m/>
    <n v="174"/>
    <n v="1061"/>
    <m/>
    <n v="177"/>
    <m/>
    <m/>
  </r>
  <r>
    <x v="8"/>
    <s v="Mississippi University for Women"/>
    <m/>
    <n v="176035"/>
    <x v="4"/>
    <n v="57804"/>
    <n v="63024"/>
    <n v="45542"/>
    <n v="43855"/>
    <n v="648"/>
    <m/>
    <n v="11614"/>
    <m/>
    <m/>
    <n v="19169"/>
    <m/>
    <m/>
    <m/>
    <m/>
    <n v="4413"/>
    <n v="4501"/>
    <n v="3192"/>
    <n v="2986"/>
    <m/>
    <n v="276"/>
    <n v="1221"/>
    <m/>
    <m/>
    <n v="1239"/>
    <m/>
    <m/>
    <m/>
    <m/>
  </r>
  <r>
    <x v="8"/>
    <s v="Hinds Community College "/>
    <m/>
    <n v="175786"/>
    <x v="6"/>
    <n v="283185"/>
    <n v="340377"/>
    <n v="249278"/>
    <n v="291407"/>
    <m/>
    <m/>
    <n v="33907"/>
    <m/>
    <m/>
    <n v="48970"/>
    <m/>
    <m/>
    <m/>
    <m/>
    <n v="0"/>
    <n v="0"/>
    <m/>
    <m/>
    <m/>
    <m/>
    <m/>
    <m/>
    <m/>
    <m/>
    <m/>
    <m/>
    <m/>
    <m/>
  </r>
  <r>
    <x v="8"/>
    <s v="Mississippi Gulf Coast Community College "/>
    <m/>
    <n v="176071"/>
    <x v="6"/>
    <n v="236034"/>
    <n v="260228"/>
    <n v="201358"/>
    <n v="217283"/>
    <m/>
    <m/>
    <n v="34676"/>
    <m/>
    <m/>
    <n v="42945"/>
    <m/>
    <m/>
    <m/>
    <m/>
    <n v="0"/>
    <n v="0"/>
    <m/>
    <m/>
    <m/>
    <m/>
    <m/>
    <m/>
    <m/>
    <m/>
    <m/>
    <m/>
    <m/>
    <m/>
  </r>
  <r>
    <x v="8"/>
    <s v="Northwest Mississippi Community College "/>
    <m/>
    <n v="176178"/>
    <x v="6"/>
    <n v="193298"/>
    <n v="219847"/>
    <n v="165742"/>
    <n v="183910"/>
    <m/>
    <m/>
    <n v="27556"/>
    <m/>
    <m/>
    <n v="35937"/>
    <m/>
    <m/>
    <m/>
    <m/>
    <n v="0"/>
    <n v="0"/>
    <m/>
    <m/>
    <m/>
    <m/>
    <m/>
    <m/>
    <m/>
    <m/>
    <m/>
    <m/>
    <m/>
    <m/>
  </r>
  <r>
    <x v="8"/>
    <s v="Copiah-Lincoln Community College "/>
    <m/>
    <n v="175573"/>
    <x v="7"/>
    <n v="91106"/>
    <n v="105575"/>
    <n v="77445"/>
    <n v="85329"/>
    <m/>
    <m/>
    <n v="13661"/>
    <m/>
    <m/>
    <n v="20246"/>
    <m/>
    <m/>
    <m/>
    <m/>
    <n v="0"/>
    <n v="0"/>
    <m/>
    <m/>
    <m/>
    <m/>
    <m/>
    <m/>
    <m/>
    <m/>
    <m/>
    <m/>
    <m/>
    <m/>
  </r>
  <r>
    <x v="8"/>
    <s v="East Central Community College "/>
    <m/>
    <n v="175643"/>
    <x v="7"/>
    <n v="68156"/>
    <n v="72447"/>
    <n v="59498"/>
    <n v="60992"/>
    <m/>
    <m/>
    <n v="8658"/>
    <m/>
    <m/>
    <n v="11455"/>
    <m/>
    <m/>
    <m/>
    <m/>
    <n v="0"/>
    <n v="0"/>
    <m/>
    <m/>
    <m/>
    <m/>
    <m/>
    <m/>
    <m/>
    <m/>
    <m/>
    <m/>
    <m/>
    <m/>
  </r>
  <r>
    <x v="8"/>
    <s v="East Mississippi Community College "/>
    <m/>
    <n v="175652"/>
    <x v="7"/>
    <n v="118056"/>
    <n v="134386"/>
    <n v="88797"/>
    <n v="95985"/>
    <m/>
    <m/>
    <n v="29259"/>
    <m/>
    <m/>
    <n v="38401"/>
    <m/>
    <m/>
    <m/>
    <m/>
    <n v="0"/>
    <n v="0"/>
    <m/>
    <m/>
    <m/>
    <m/>
    <m/>
    <m/>
    <m/>
    <m/>
    <m/>
    <m/>
    <m/>
    <m/>
  </r>
  <r>
    <x v="8"/>
    <s v="Holmes Community College "/>
    <s v="Met the criteria for Two-Year 1 in 2010-11."/>
    <n v="175810"/>
    <x v="7"/>
    <n v="141860"/>
    <n v="161641"/>
    <n v="129895"/>
    <n v="141652"/>
    <m/>
    <m/>
    <n v="11965"/>
    <m/>
    <m/>
    <n v="19989"/>
    <m/>
    <m/>
    <m/>
    <m/>
    <n v="0"/>
    <n v="0"/>
    <m/>
    <m/>
    <m/>
    <m/>
    <m/>
    <m/>
    <m/>
    <m/>
    <m/>
    <m/>
    <m/>
    <m/>
  </r>
  <r>
    <x v="8"/>
    <s v="Itawamba Community College "/>
    <s v="Reclassified: Met criteria for Two-Year 1 2008-09, 2009-10 and 2010-11."/>
    <n v="175829"/>
    <x v="6"/>
    <n v="195807"/>
    <n v="226292"/>
    <n v="131280"/>
    <n v="138709"/>
    <m/>
    <m/>
    <n v="64527"/>
    <m/>
    <m/>
    <n v="87583"/>
    <m/>
    <m/>
    <m/>
    <m/>
    <n v="0"/>
    <n v="0"/>
    <m/>
    <m/>
    <m/>
    <m/>
    <m/>
    <m/>
    <m/>
    <m/>
    <m/>
    <m/>
    <m/>
    <m/>
  </r>
  <r>
    <x v="8"/>
    <s v="Jones County Junior College "/>
    <s v="Met the criteria for Two-Year 1 in 2010-11."/>
    <n v="175883"/>
    <x v="7"/>
    <n v="134233"/>
    <n v="151640"/>
    <n v="117478"/>
    <n v="125810"/>
    <m/>
    <m/>
    <n v="16755"/>
    <m/>
    <m/>
    <n v="25830"/>
    <m/>
    <m/>
    <m/>
    <m/>
    <n v="0"/>
    <n v="0"/>
    <m/>
    <m/>
    <m/>
    <m/>
    <m/>
    <m/>
    <m/>
    <m/>
    <m/>
    <m/>
    <m/>
    <m/>
  </r>
  <r>
    <x v="8"/>
    <s v="Meridian Community College "/>
    <m/>
    <n v="175935"/>
    <x v="7"/>
    <n v="93664"/>
    <n v="102621"/>
    <n v="83609"/>
    <n v="88973"/>
    <m/>
    <m/>
    <n v="10055"/>
    <m/>
    <m/>
    <n v="13648"/>
    <m/>
    <m/>
    <m/>
    <m/>
    <n v="0"/>
    <n v="0"/>
    <m/>
    <m/>
    <m/>
    <m/>
    <m/>
    <m/>
    <m/>
    <m/>
    <m/>
    <m/>
    <m/>
    <m/>
  </r>
  <r>
    <x v="8"/>
    <s v="Mississippi Delta Community College "/>
    <m/>
    <n v="176008"/>
    <x v="7"/>
    <n v="83275"/>
    <n v="95578"/>
    <n v="72965"/>
    <n v="80457"/>
    <m/>
    <m/>
    <n v="10310"/>
    <m/>
    <m/>
    <n v="15121"/>
    <m/>
    <m/>
    <m/>
    <m/>
    <n v="0"/>
    <n v="0"/>
    <m/>
    <m/>
    <m/>
    <m/>
    <m/>
    <m/>
    <m/>
    <m/>
    <m/>
    <m/>
    <m/>
    <m/>
  </r>
  <r>
    <x v="8"/>
    <s v="Northeast Mississippi Community College "/>
    <m/>
    <n v="176169"/>
    <x v="7"/>
    <n v="90748"/>
    <n v="98780"/>
    <n v="81749"/>
    <n v="86696"/>
    <m/>
    <m/>
    <n v="8999"/>
    <m/>
    <m/>
    <n v="12084"/>
    <m/>
    <m/>
    <m/>
    <m/>
    <n v="0"/>
    <n v="0"/>
    <m/>
    <m/>
    <m/>
    <m/>
    <m/>
    <m/>
    <m/>
    <m/>
    <m/>
    <m/>
    <m/>
    <m/>
  </r>
  <r>
    <x v="8"/>
    <s v="Pearl River Community College "/>
    <m/>
    <n v="176239"/>
    <x v="7"/>
    <n v="114553"/>
    <n v="129439"/>
    <n v="102908"/>
    <n v="113535"/>
    <m/>
    <m/>
    <n v="11645"/>
    <m/>
    <m/>
    <n v="15904"/>
    <m/>
    <m/>
    <m/>
    <m/>
    <n v="0"/>
    <n v="0"/>
    <m/>
    <m/>
    <m/>
    <m/>
    <m/>
    <m/>
    <m/>
    <m/>
    <m/>
    <m/>
    <m/>
    <m/>
  </r>
  <r>
    <x v="8"/>
    <s v="Coahoma Community College "/>
    <s v="Met the criteria for Two-Year 2 in 2010-11."/>
    <n v="175519"/>
    <x v="8"/>
    <n v="54854"/>
    <n v="63546"/>
    <n v="51108"/>
    <n v="59568"/>
    <m/>
    <m/>
    <n v="3746"/>
    <m/>
    <m/>
    <n v="3978"/>
    <m/>
    <m/>
    <m/>
    <m/>
    <n v="0"/>
    <n v="0"/>
    <m/>
    <m/>
    <m/>
    <m/>
    <m/>
    <m/>
    <m/>
    <m/>
    <m/>
    <m/>
    <m/>
    <m/>
  </r>
  <r>
    <x v="8"/>
    <s v="Southwest Mississippi Community College"/>
    <m/>
    <n v="176354"/>
    <x v="8"/>
    <n v="53226"/>
    <n v="56549"/>
    <n v="48131"/>
    <n v="48821"/>
    <m/>
    <m/>
    <n v="5095"/>
    <m/>
    <m/>
    <n v="7728"/>
    <m/>
    <m/>
    <m/>
    <m/>
    <n v="0"/>
    <n v="0"/>
    <m/>
    <m/>
    <m/>
    <m/>
    <m/>
    <m/>
    <m/>
    <m/>
    <m/>
    <m/>
    <m/>
    <m/>
  </r>
  <r>
    <x v="9"/>
    <s v="North Carolina State University "/>
    <m/>
    <n v="199193"/>
    <x v="0"/>
    <n v="717672"/>
    <n v="725990"/>
    <n v="654799"/>
    <n v="652424"/>
    <n v="3672"/>
    <n v="2684"/>
    <n v="49825"/>
    <s v="."/>
    <n v="9376"/>
    <n v="70435"/>
    <n v="0"/>
    <n v="447"/>
    <m/>
    <m/>
    <n v="124350"/>
    <n v="134169"/>
    <n v="105943"/>
    <n v="110680"/>
    <n v="5478"/>
    <n v="6029"/>
    <n v="12667"/>
    <n v="0"/>
    <n v="262"/>
    <n v="16980"/>
    <n v="0"/>
    <n v="480"/>
    <m/>
    <m/>
  </r>
  <r>
    <x v="9"/>
    <s v="University of North Carolina at Chapel Hill "/>
    <m/>
    <n v="199120"/>
    <x v="0"/>
    <n v="508040"/>
    <n v="508742"/>
    <n v="492488"/>
    <n v="493196"/>
    <n v="579"/>
    <n v="509"/>
    <n v="14956"/>
    <n v="17"/>
    <n v="0"/>
    <n v="15037"/>
    <n v="0"/>
    <n v="0"/>
    <m/>
    <m/>
    <n v="190801"/>
    <n v="194086"/>
    <n v="159915"/>
    <n v="163862"/>
    <n v="15610"/>
    <n v="15695"/>
    <n v="13626"/>
    <n v="1650"/>
    <m/>
    <n v="14092"/>
    <n v="437"/>
    <m/>
    <m/>
    <m/>
  </r>
  <r>
    <x v="9"/>
    <s v="University of North Carolina at Charlotte"/>
    <m/>
    <n v="199139"/>
    <x v="1"/>
    <n v="515155"/>
    <n v="550912"/>
    <n v="498030"/>
    <n v="530225"/>
    <n v="288"/>
    <n v="561"/>
    <n v="16837"/>
    <n v="0"/>
    <n v="0"/>
    <n v="20126"/>
    <n v="0"/>
    <n v="0"/>
    <m/>
    <m/>
    <n v="72645"/>
    <n v="74936"/>
    <n v="58874"/>
    <n v="61026"/>
    <n v="4544"/>
    <n v="3771"/>
    <n v="9215"/>
    <n v="12"/>
    <m/>
    <n v="10115"/>
    <n v="24"/>
    <m/>
    <m/>
    <m/>
  </r>
  <r>
    <x v="9"/>
    <s v="University of North Carolina at Greensboro"/>
    <s v="Met the criteria for Four-Year 1 in 2009-10 and 2010-11."/>
    <n v="199148"/>
    <x v="1"/>
    <n v="423138"/>
    <n v="414299"/>
    <n v="352269"/>
    <n v="350322"/>
    <n v="554"/>
    <n v="336"/>
    <n v="70184"/>
    <n v="131"/>
    <n v="0"/>
    <n v="63569"/>
    <n v="72"/>
    <n v="0"/>
    <m/>
    <m/>
    <n v="69415"/>
    <n v="70539"/>
    <n v="55812"/>
    <n v="55355"/>
    <n v="2314"/>
    <n v="2232"/>
    <n v="11097"/>
    <n v="192"/>
    <m/>
    <n v="12633"/>
    <n v="319"/>
    <m/>
    <m/>
    <m/>
  </r>
  <r>
    <x v="9"/>
    <s v="Appalachian State University "/>
    <m/>
    <n v="197869"/>
    <x v="2"/>
    <n v="442948"/>
    <n v="453030"/>
    <n v="429250"/>
    <n v="435465"/>
    <n v="10448"/>
    <n v="9418"/>
    <n v="3217"/>
    <n v="33"/>
    <n v="0"/>
    <n v="8147"/>
    <n v="0"/>
    <n v="0"/>
    <m/>
    <m/>
    <n v="38023"/>
    <n v="38084"/>
    <n v="21459"/>
    <n v="22203"/>
    <n v="13793"/>
    <n v="11882"/>
    <n v="2771"/>
    <n v="0"/>
    <m/>
    <n v="3999"/>
    <n v="0"/>
    <m/>
    <m/>
    <m/>
  </r>
  <r>
    <x v="9"/>
    <s v="East Carolina University "/>
    <s v="Met the criteria for Four-Year 2 in 2010-11."/>
    <n v="198464"/>
    <x v="2"/>
    <n v="583534"/>
    <n v="595157"/>
    <n v="500495"/>
    <n v="504109"/>
    <n v="9108"/>
    <n v="11952"/>
    <n v="73931"/>
    <n v="0"/>
    <n v="0"/>
    <n v="79096"/>
    <n v="0"/>
    <n v="0"/>
    <m/>
    <m/>
    <n v="104929"/>
    <n v="108620"/>
    <n v="51900"/>
    <n v="55748"/>
    <n v="6483"/>
    <n v="8351"/>
    <n v="46540"/>
    <n v="6"/>
    <m/>
    <n v="44521"/>
    <n v="0"/>
    <m/>
    <m/>
    <m/>
  </r>
  <r>
    <x v="9"/>
    <s v="North Carolina A&amp;T State University"/>
    <m/>
    <n v="199102"/>
    <x v="2"/>
    <n v="260799"/>
    <n v="270371"/>
    <n v="243888"/>
    <n v="248969"/>
    <n v="2557"/>
    <n v="2167"/>
    <n v="14354"/>
    <n v="0"/>
    <n v="0"/>
    <n v="19235"/>
    <n v="0"/>
    <n v="0"/>
    <m/>
    <m/>
    <n v="34478"/>
    <n v="33492"/>
    <n v="26542"/>
    <n v="24393"/>
    <n v="1458"/>
    <n v="1932"/>
    <n v="6478"/>
    <n v="0"/>
    <m/>
    <n v="7167"/>
    <n v="0"/>
    <m/>
    <m/>
    <m/>
  </r>
  <r>
    <x v="9"/>
    <s v="North Carolina Central University "/>
    <m/>
    <n v="199157"/>
    <x v="2"/>
    <n v="183197"/>
    <n v="192314"/>
    <n v="173375"/>
    <n v="179702"/>
    <n v="491"/>
    <n v="195"/>
    <n v="9331"/>
    <n v="0"/>
    <n v="0"/>
    <n v="12417"/>
    <n v="0"/>
    <n v="0"/>
    <m/>
    <m/>
    <n v="42311"/>
    <n v="43255"/>
    <n v="34925"/>
    <n v="34879"/>
    <n v="997"/>
    <n v="1433"/>
    <n v="6335"/>
    <n v="54"/>
    <m/>
    <n v="6943"/>
    <n v="0"/>
    <m/>
    <m/>
    <m/>
  </r>
  <r>
    <x v="9"/>
    <s v="University of North Carolina at Wilmington"/>
    <m/>
    <n v="199218"/>
    <x v="2"/>
    <n v="334636"/>
    <n v="343061"/>
    <n v="297323"/>
    <n v="311729"/>
    <n v="4859"/>
    <n v="4085"/>
    <n v="32454"/>
    <n v="0"/>
    <n v="0"/>
    <n v="27157"/>
    <n v="90"/>
    <n v="0"/>
    <m/>
    <m/>
    <n v="21463"/>
    <n v="21548"/>
    <n v="16676"/>
    <n v="17764"/>
    <n v="1023"/>
    <n v="441"/>
    <n v="3764"/>
    <n v="0"/>
    <m/>
    <n v="3157"/>
    <n v="186"/>
    <m/>
    <m/>
    <m/>
  </r>
  <r>
    <x v="9"/>
    <s v="Western Carolina University "/>
    <m/>
    <n v="200004"/>
    <x v="2"/>
    <n v="205371"/>
    <n v="210642"/>
    <n v="181847"/>
    <n v="187349"/>
    <n v="4968"/>
    <n v="4540"/>
    <n v="18463"/>
    <n v="93"/>
    <n v="0"/>
    <n v="18597"/>
    <n v="156"/>
    <n v="0"/>
    <m/>
    <m/>
    <n v="32753"/>
    <n v="33816"/>
    <n v="18092"/>
    <n v="18560"/>
    <n v="1267"/>
    <n v="860"/>
    <n v="13211"/>
    <n v="183"/>
    <m/>
    <n v="14066"/>
    <n v="330"/>
    <m/>
    <m/>
    <m/>
  </r>
  <r>
    <x v="9"/>
    <s v="Fayetteville State University "/>
    <s v="Met the criteria for Four-Year 3 in 2010-11."/>
    <n v="198543"/>
    <x v="3"/>
    <n v="155114"/>
    <n v="144829"/>
    <n v="131700"/>
    <n v="119447"/>
    <n v="6417"/>
    <n v="3310"/>
    <n v="16997"/>
    <n v="0"/>
    <n v="0"/>
    <n v="21922"/>
    <n v="150"/>
    <n v="0"/>
    <m/>
    <m/>
    <n v="9056"/>
    <n v="9471"/>
    <n v="6299"/>
    <n v="5492"/>
    <n v="1533"/>
    <n v="1681"/>
    <n v="1224"/>
    <n v="0"/>
    <m/>
    <n v="2298"/>
    <n v="0"/>
    <m/>
    <m/>
    <m/>
  </r>
  <r>
    <x v="9"/>
    <s v="University of North Carolina at Pembroke"/>
    <m/>
    <n v="199281"/>
    <x v="4"/>
    <n v="157555"/>
    <n v="169136"/>
    <n v="126531"/>
    <n v="131400"/>
    <n v="3804"/>
    <n v="4021"/>
    <n v="26935"/>
    <n v="285"/>
    <n v="0"/>
    <n v="33015"/>
    <n v="700"/>
    <n v="0"/>
    <m/>
    <m/>
    <n v="10864"/>
    <n v="11092"/>
    <n v="5005"/>
    <n v="4830"/>
    <n v="1310"/>
    <n v="859"/>
    <n v="4546"/>
    <n v="3"/>
    <m/>
    <n v="5349"/>
    <n v="54"/>
    <m/>
    <m/>
    <m/>
  </r>
  <r>
    <x v="9"/>
    <s v="Winston-Salem State University "/>
    <m/>
    <n v="199999"/>
    <x v="4"/>
    <n v="177169"/>
    <n v="173712"/>
    <n v="148912"/>
    <n v="140047"/>
    <n v="14240"/>
    <n v="15543"/>
    <n v="14017"/>
    <n v="0"/>
    <n v="0"/>
    <n v="18122"/>
    <n v="0"/>
    <n v="0"/>
    <m/>
    <m/>
    <n v="10195"/>
    <n v="10784"/>
    <n v="8564"/>
    <n v="9159"/>
    <n v="543"/>
    <n v="483"/>
    <n v="803"/>
    <n v="285"/>
    <m/>
    <n v="1058"/>
    <n v="84"/>
    <m/>
    <m/>
    <m/>
  </r>
  <r>
    <x v="9"/>
    <s v="Elizabeth City State University "/>
    <m/>
    <n v="198507"/>
    <x v="5"/>
    <n v="95987"/>
    <n v="100051"/>
    <n v="82421"/>
    <n v="83505"/>
    <n v="335"/>
    <n v="1500"/>
    <n v="13073"/>
    <n v="158"/>
    <n v="0"/>
    <n v="15046"/>
    <n v="0"/>
    <n v="0"/>
    <m/>
    <m/>
    <n v="951"/>
    <n v="1076"/>
    <n v="684"/>
    <n v="629"/>
    <n v="0"/>
    <n v="82"/>
    <n v="267"/>
    <n v="0"/>
    <m/>
    <n v="365"/>
    <n v="0"/>
    <m/>
    <m/>
    <m/>
  </r>
  <r>
    <x v="9"/>
    <s v="University of North Carolina at Asheville"/>
    <m/>
    <n v="199111"/>
    <x v="5"/>
    <n v="97950"/>
    <n v="102465"/>
    <n v="96282"/>
    <n v="100823"/>
    <n v="1668"/>
    <n v="1642"/>
    <n v="0"/>
    <n v="0"/>
    <n v="0"/>
    <n v="0"/>
    <n v="0"/>
    <n v="0"/>
    <m/>
    <m/>
    <n v="415"/>
    <n v="443"/>
    <n v="388"/>
    <n v="398"/>
    <n v="27"/>
    <n v="45"/>
    <n v="0"/>
    <n v="0"/>
    <m/>
    <n v="0"/>
    <n v="0"/>
    <m/>
    <m/>
    <m/>
  </r>
  <r>
    <x v="9"/>
    <s v="Asheville-Buncombe Technical Community College"/>
    <m/>
    <n v="197887"/>
    <x v="6"/>
    <n v="144633"/>
    <n v="159416"/>
    <n v="115653"/>
    <n v="124856"/>
    <n v="9825"/>
    <n v="10150"/>
    <n v="19155"/>
    <n v="0"/>
    <n v="0"/>
    <n v="24410"/>
    <n v="0"/>
    <n v="0"/>
    <m/>
    <m/>
    <n v="0"/>
    <n v="0"/>
    <m/>
    <m/>
    <m/>
    <m/>
    <m/>
    <m/>
    <m/>
    <m/>
    <m/>
    <m/>
    <m/>
    <m/>
  </r>
  <r>
    <x v="9"/>
    <s v="Cape Fear Community College"/>
    <m/>
    <n v="198154"/>
    <x v="6"/>
    <n v="186949"/>
    <n v="212549"/>
    <n v="156260"/>
    <n v="175771"/>
    <n v="5059"/>
    <n v="3277"/>
    <n v="25630"/>
    <n v="0"/>
    <n v="0"/>
    <n v="33501"/>
    <n v="0"/>
    <n v="0"/>
    <m/>
    <m/>
    <n v="0"/>
    <n v="0"/>
    <m/>
    <m/>
    <m/>
    <m/>
    <m/>
    <m/>
    <m/>
    <m/>
    <m/>
    <m/>
    <m/>
    <m/>
  </r>
  <r>
    <x v="9"/>
    <s v="Catawba Valley Community College"/>
    <s v="Reclassified, meets the criteria for Two-Year 2."/>
    <n v="198233"/>
    <x v="7"/>
    <n v="113143"/>
    <n v="125873"/>
    <n v="83678"/>
    <n v="92143"/>
    <n v="3389"/>
    <n v="4186"/>
    <n v="23040"/>
    <n v="1167"/>
    <n v="1869"/>
    <n v="28694"/>
    <n v="123"/>
    <n v="727"/>
    <m/>
    <m/>
    <n v="0"/>
    <n v="0"/>
    <m/>
    <m/>
    <m/>
    <m/>
    <m/>
    <m/>
    <m/>
    <m/>
    <m/>
    <m/>
    <m/>
    <m/>
  </r>
  <r>
    <x v="9"/>
    <s v="Central Carolina Commuity College"/>
    <s v="Reclassified, meets the criteria for Two-Year 2."/>
    <n v="198251"/>
    <x v="7"/>
    <n v="96596"/>
    <n v="104167"/>
    <n v="57973"/>
    <n v="65438"/>
    <n v="11983"/>
    <n v="10252"/>
    <n v="26640"/>
    <n v="0"/>
    <n v="0"/>
    <n v="27852"/>
    <n v="0"/>
    <n v="625"/>
    <m/>
    <m/>
    <n v="0"/>
    <n v="0"/>
    <m/>
    <m/>
    <m/>
    <m/>
    <m/>
    <m/>
    <m/>
    <m/>
    <m/>
    <m/>
    <m/>
    <m/>
  </r>
  <r>
    <x v="9"/>
    <s v="Central Piedmont Community College "/>
    <m/>
    <n v="198260"/>
    <x v="6"/>
    <n v="386740"/>
    <n v="409543"/>
    <n v="288525"/>
    <n v="302706"/>
    <n v="16442"/>
    <n v="15033"/>
    <n v="77374"/>
    <n v="0"/>
    <n v="4399"/>
    <n v="87274"/>
    <n v="0"/>
    <n v="4530"/>
    <m/>
    <m/>
    <n v="0"/>
    <n v="0"/>
    <m/>
    <m/>
    <m/>
    <m/>
    <m/>
    <m/>
    <m/>
    <m/>
    <m/>
    <m/>
    <m/>
    <m/>
  </r>
  <r>
    <x v="9"/>
    <s v="Durham Technical Community College"/>
    <s v="Reclassified, meets the criteria for Two-Year 2."/>
    <n v="198455"/>
    <x v="7"/>
    <n v="100615"/>
    <n v="105294"/>
    <n v="84577"/>
    <n v="88388"/>
    <n v="3104"/>
    <n v="3297"/>
    <n v="12934"/>
    <n v="0"/>
    <n v="0"/>
    <n v="13609"/>
    <n v="0"/>
    <n v="0"/>
    <m/>
    <m/>
    <n v="0"/>
    <n v="0"/>
    <m/>
    <m/>
    <m/>
    <m/>
    <m/>
    <m/>
    <m/>
    <m/>
    <m/>
    <m/>
    <m/>
    <m/>
  </r>
  <r>
    <x v="9"/>
    <s v="Fayetteville Technical Community College"/>
    <m/>
    <n v="198534"/>
    <x v="6"/>
    <n v="227849"/>
    <n v="242342"/>
    <n v="143218"/>
    <n v="151556"/>
    <n v="5519"/>
    <n v="5748"/>
    <n v="77846"/>
    <n v="1266"/>
    <n v="0"/>
    <n v="83874"/>
    <n v="1164"/>
    <n v="0"/>
    <m/>
    <m/>
    <n v="0"/>
    <n v="0"/>
    <m/>
    <m/>
    <m/>
    <m/>
    <m/>
    <m/>
    <m/>
    <m/>
    <m/>
    <m/>
    <m/>
    <m/>
  </r>
  <r>
    <x v="9"/>
    <s v="Forsyth Technical Community College"/>
    <m/>
    <n v="198552"/>
    <x v="6"/>
    <n v="181929"/>
    <n v="215071"/>
    <n v="128243"/>
    <n v="150541"/>
    <n v="10595"/>
    <n v="12413"/>
    <n v="42139"/>
    <n v="952"/>
    <n v="0"/>
    <n v="50600"/>
    <n v="1517"/>
    <n v="0"/>
    <m/>
    <m/>
    <n v="0"/>
    <n v="0"/>
    <m/>
    <m/>
    <m/>
    <m/>
    <m/>
    <m/>
    <m/>
    <m/>
    <m/>
    <m/>
    <m/>
    <m/>
  </r>
  <r>
    <x v="9"/>
    <s v="Guilford Technical Community College"/>
    <m/>
    <n v="198622"/>
    <x v="6"/>
    <n v="275849"/>
    <n v="333447"/>
    <n v="237955"/>
    <n v="282592"/>
    <n v="2769"/>
    <n v="2805"/>
    <n v="34684"/>
    <n v="0"/>
    <n v="441"/>
    <n v="48050"/>
    <n v="0"/>
    <n v="0"/>
    <m/>
    <m/>
    <n v="0"/>
    <n v="0"/>
    <m/>
    <m/>
    <m/>
    <m/>
    <m/>
    <m/>
    <m/>
    <m/>
    <m/>
    <m/>
    <m/>
    <m/>
  </r>
  <r>
    <x v="9"/>
    <s v="Pitt Community College"/>
    <m/>
    <n v="199333"/>
    <x v="6"/>
    <n v="163185"/>
    <n v="188059"/>
    <n v="122898"/>
    <n v="136184"/>
    <n v="9635"/>
    <n v="8983"/>
    <n v="30652"/>
    <n v="0"/>
    <n v="0"/>
    <n v="42892"/>
    <n v="0"/>
    <n v="0"/>
    <m/>
    <m/>
    <n v="0"/>
    <n v="0"/>
    <m/>
    <m/>
    <m/>
    <m/>
    <m/>
    <m/>
    <m/>
    <m/>
    <m/>
    <m/>
    <m/>
    <m/>
  </r>
  <r>
    <x v="9"/>
    <s v="Rowan-Cabarrus Community College"/>
    <m/>
    <n v="199494"/>
    <x v="6"/>
    <n v="146377"/>
    <n v="166263"/>
    <n v="119647"/>
    <n v="132266"/>
    <n v="800"/>
    <n v="3687"/>
    <n v="22402"/>
    <n v="1254"/>
    <n v="2274"/>
    <n v="27427"/>
    <n v="756"/>
    <n v="2127"/>
    <m/>
    <m/>
    <n v="0"/>
    <n v="0"/>
    <m/>
    <m/>
    <m/>
    <m/>
    <m/>
    <m/>
    <m/>
    <m/>
    <m/>
    <m/>
    <m/>
    <m/>
  </r>
  <r>
    <x v="9"/>
    <s v="Wake Technical Community College"/>
    <m/>
    <n v="199856"/>
    <x v="6"/>
    <n v="305765"/>
    <n v="348159"/>
    <n v="238349"/>
    <n v="269320"/>
    <n v="7733"/>
    <n v="6433"/>
    <n v="59683"/>
    <n v="0"/>
    <n v="0"/>
    <n v="72406"/>
    <n v="0"/>
    <n v="0"/>
    <m/>
    <m/>
    <n v="0"/>
    <n v="0"/>
    <m/>
    <m/>
    <m/>
    <m/>
    <m/>
    <m/>
    <m/>
    <m/>
    <m/>
    <m/>
    <m/>
    <m/>
  </r>
  <r>
    <x v="9"/>
    <s v="Alamance Community College"/>
    <m/>
    <n v="199786"/>
    <x v="7"/>
    <n v="106602"/>
    <n v="117494"/>
    <n v="90072"/>
    <n v="99284"/>
    <n v="5814"/>
    <n v="5672"/>
    <n v="10716"/>
    <n v="0"/>
    <n v="0"/>
    <n v="12538"/>
    <n v="0"/>
    <n v="0"/>
    <m/>
    <m/>
    <n v="0"/>
    <n v="0"/>
    <m/>
    <m/>
    <m/>
    <m/>
    <m/>
    <m/>
    <m/>
    <m/>
    <m/>
    <m/>
    <m/>
    <m/>
  </r>
  <r>
    <x v="9"/>
    <s v="Blue Ridge Community College"/>
    <s v="Reclassified, meets the criteria for Two-Year 3."/>
    <n v="198039"/>
    <x v="8"/>
    <n v="45794"/>
    <n v="50471"/>
    <n v="36987"/>
    <n v="39555"/>
    <n v="1155"/>
    <n v="1239"/>
    <n v="6665"/>
    <n v="539"/>
    <n v="448"/>
    <n v="7826"/>
    <n v="173"/>
    <n v="1678"/>
    <m/>
    <m/>
    <n v="0"/>
    <n v="0"/>
    <m/>
    <m/>
    <m/>
    <m/>
    <m/>
    <m/>
    <m/>
    <m/>
    <m/>
    <m/>
    <m/>
    <m/>
  </r>
  <r>
    <x v="9"/>
    <s v="Caldwell Community College &amp; Technical Institute"/>
    <m/>
    <n v="198118"/>
    <x v="7"/>
    <n v="96765"/>
    <n v="107584"/>
    <n v="74841"/>
    <n v="79669"/>
    <n v="7457"/>
    <n v="7532"/>
    <n v="11618"/>
    <n v="1924"/>
    <n v="925"/>
    <n v="16853"/>
    <n v="3205"/>
    <n v="325"/>
    <m/>
    <m/>
    <n v="0"/>
    <n v="0"/>
    <m/>
    <m/>
    <m/>
    <m/>
    <m/>
    <m/>
    <m/>
    <m/>
    <m/>
    <m/>
    <m/>
    <m/>
  </r>
  <r>
    <x v="9"/>
    <s v="Cleveland Community College"/>
    <m/>
    <n v="198321"/>
    <x v="7"/>
    <n v="82295"/>
    <n v="93159"/>
    <n v="52814"/>
    <n v="60360"/>
    <n v="11250"/>
    <n v="11099"/>
    <n v="17944"/>
    <n v="210"/>
    <n v="77"/>
    <n v="21445"/>
    <n v="225"/>
    <n v="30"/>
    <m/>
    <m/>
    <n v="0"/>
    <n v="0"/>
    <m/>
    <m/>
    <m/>
    <m/>
    <m/>
    <m/>
    <m/>
    <m/>
    <m/>
    <m/>
    <m/>
    <m/>
  </r>
  <r>
    <x v="9"/>
    <s v="Coastal Carolina Community College "/>
    <m/>
    <n v="198330"/>
    <x v="7"/>
    <n v="104079"/>
    <n v="115927"/>
    <n v="73372"/>
    <n v="80478"/>
    <n v="9515"/>
    <n v="10109"/>
    <n v="21192"/>
    <n v="0"/>
    <n v="0"/>
    <n v="25340"/>
    <n v="0"/>
    <n v="0"/>
    <m/>
    <m/>
    <n v="0"/>
    <n v="0"/>
    <m/>
    <m/>
    <m/>
    <m/>
    <m/>
    <m/>
    <m/>
    <m/>
    <m/>
    <m/>
    <m/>
    <m/>
  </r>
  <r>
    <x v="9"/>
    <s v="College of the Albemarle"/>
    <s v="Reclassified, meets the criteria for Two-Year 3."/>
    <n v="197814"/>
    <x v="8"/>
    <n v="51745"/>
    <n v="53862"/>
    <n v="31302"/>
    <n v="32302"/>
    <n v="5346"/>
    <n v="3647"/>
    <n v="14539"/>
    <n v="558"/>
    <n v="0"/>
    <n v="17862"/>
    <n v="51"/>
    <n v="0"/>
    <m/>
    <m/>
    <n v="0"/>
    <n v="0"/>
    <m/>
    <m/>
    <m/>
    <m/>
    <m/>
    <m/>
    <m/>
    <m/>
    <m/>
    <m/>
    <m/>
    <m/>
  </r>
  <r>
    <x v="9"/>
    <s v="Craven Community College "/>
    <m/>
    <n v="198367"/>
    <x v="7"/>
    <n v="68418"/>
    <n v="78830"/>
    <n v="44380"/>
    <n v="51547"/>
    <n v="749"/>
    <n v="704"/>
    <n v="22361"/>
    <n v="0"/>
    <n v="928"/>
    <n v="25751"/>
    <n v="0"/>
    <n v="828"/>
    <m/>
    <m/>
    <n v="0"/>
    <n v="0"/>
    <m/>
    <m/>
    <m/>
    <m/>
    <m/>
    <m/>
    <m/>
    <m/>
    <m/>
    <m/>
    <m/>
    <m/>
  </r>
  <r>
    <x v="9"/>
    <s v="Davidson County Community College "/>
    <m/>
    <n v="198376"/>
    <x v="7"/>
    <n v="85748"/>
    <n v="96011"/>
    <n v="63999"/>
    <n v="72398"/>
    <n v="180"/>
    <n v="22"/>
    <n v="19574"/>
    <n v="1760"/>
    <n v="235"/>
    <n v="22204"/>
    <n v="1387"/>
    <n v="0"/>
    <m/>
    <m/>
    <n v="0"/>
    <n v="0"/>
    <m/>
    <m/>
    <m/>
    <m/>
    <m/>
    <m/>
    <m/>
    <m/>
    <m/>
    <m/>
    <m/>
    <m/>
  </r>
  <r>
    <x v="9"/>
    <s v="Edgecombe Community College"/>
    <m/>
    <n v="198491"/>
    <x v="7"/>
    <n v="58811"/>
    <n v="75491"/>
    <n v="41838"/>
    <n v="52105"/>
    <n v="1796"/>
    <n v="1891"/>
    <n v="15066"/>
    <n v="111"/>
    <n v="0"/>
    <n v="21495"/>
    <n v="0"/>
    <n v="0"/>
    <m/>
    <m/>
    <n v="0"/>
    <n v="0"/>
    <m/>
    <m/>
    <m/>
    <m/>
    <m/>
    <m/>
    <m/>
    <m/>
    <m/>
    <m/>
    <m/>
    <m/>
  </r>
  <r>
    <x v="9"/>
    <s v="Gaston College "/>
    <s v="Reclassified, meets the criteria for Two-Year 1."/>
    <n v="198570"/>
    <x v="6"/>
    <n v="138540"/>
    <n v="151327"/>
    <n v="102119"/>
    <n v="110795"/>
    <n v="5877"/>
    <n v="5218"/>
    <n v="29548"/>
    <n v="996"/>
    <n v="0"/>
    <n v="34114"/>
    <n v="1200"/>
    <n v="0"/>
    <m/>
    <m/>
    <n v="0"/>
    <n v="0"/>
    <m/>
    <m/>
    <m/>
    <m/>
    <m/>
    <m/>
    <m/>
    <m/>
    <m/>
    <m/>
    <m/>
    <m/>
  </r>
  <r>
    <x v="9"/>
    <s v="Haywood Community College"/>
    <m/>
    <n v="198668"/>
    <x v="7"/>
    <n v="43972"/>
    <n v="49510"/>
    <n v="26259"/>
    <n v="29794"/>
    <n v="3675"/>
    <n v="2345"/>
    <n v="13750"/>
    <n v="288"/>
    <n v="0"/>
    <n v="17263"/>
    <n v="108"/>
    <n v="0"/>
    <m/>
    <m/>
    <n v="0"/>
    <n v="0"/>
    <m/>
    <m/>
    <m/>
    <m/>
    <m/>
    <m/>
    <m/>
    <m/>
    <m/>
    <m/>
    <m/>
    <m/>
  </r>
  <r>
    <x v="9"/>
    <s v="Isothermal Community College "/>
    <m/>
    <n v="198710"/>
    <x v="7"/>
    <n v="58184"/>
    <n v="66414"/>
    <n v="47588"/>
    <n v="50927"/>
    <n v="2746"/>
    <n v="3626"/>
    <n v="7850"/>
    <n v="0"/>
    <n v="0"/>
    <n v="11846"/>
    <n v="15"/>
    <n v="0"/>
    <m/>
    <m/>
    <n v="0"/>
    <n v="0"/>
    <m/>
    <m/>
    <m/>
    <m/>
    <m/>
    <m/>
    <m/>
    <m/>
    <m/>
    <m/>
    <m/>
    <m/>
  </r>
  <r>
    <x v="9"/>
    <s v="Johnston Community College"/>
    <m/>
    <n v="198774"/>
    <x v="7"/>
    <n v="95374"/>
    <n v="92041"/>
    <n v="57378"/>
    <n v="61527"/>
    <n v="17469"/>
    <n v="7635"/>
    <n v="20287"/>
    <n v="0"/>
    <n v="240"/>
    <n v="22423"/>
    <n v="186"/>
    <n v="270"/>
    <m/>
    <m/>
    <n v="0"/>
    <n v="0"/>
    <m/>
    <m/>
    <m/>
    <m/>
    <m/>
    <m/>
    <m/>
    <m/>
    <m/>
    <m/>
    <m/>
    <m/>
  </r>
  <r>
    <x v="9"/>
    <s v="Lenoir Community College "/>
    <m/>
    <n v="198817"/>
    <x v="7"/>
    <n v="72306"/>
    <n v="81761"/>
    <n v="44899"/>
    <n v="49592"/>
    <n v="4765"/>
    <n v="3223"/>
    <n v="22642"/>
    <n v="0"/>
    <n v="0"/>
    <n v="28946"/>
    <n v="0"/>
    <n v="0"/>
    <m/>
    <m/>
    <n v="0"/>
    <n v="0"/>
    <m/>
    <m/>
    <m/>
    <m/>
    <m/>
    <m/>
    <m/>
    <m/>
    <m/>
    <m/>
    <m/>
    <m/>
  </r>
  <r>
    <x v="9"/>
    <s v="Mayland Community College"/>
    <s v="Reclassified, meets the criteria for Two-Year 3."/>
    <n v="198914"/>
    <x v="8"/>
    <n v="30891"/>
    <n v="28835"/>
    <n v="17225"/>
    <n v="17890"/>
    <n v="10395"/>
    <n v="7548"/>
    <n v="3208"/>
    <n v="63"/>
    <n v="0"/>
    <n v="3234"/>
    <n v="163"/>
    <n v="0"/>
    <m/>
    <m/>
    <n v="0"/>
    <n v="0"/>
    <m/>
    <m/>
    <m/>
    <m/>
    <m/>
    <m/>
    <m/>
    <m/>
    <m/>
    <m/>
    <m/>
    <m/>
  </r>
  <r>
    <x v="9"/>
    <s v="Mitchell Community College "/>
    <m/>
    <n v="198987"/>
    <x v="7"/>
    <n v="65538"/>
    <n v="76056"/>
    <n v="55231"/>
    <n v="61231"/>
    <n v="2160"/>
    <n v="2971"/>
    <n v="8000"/>
    <n v="0"/>
    <n v="147"/>
    <n v="11854"/>
    <n v="0"/>
    <n v="0"/>
    <m/>
    <m/>
    <n v="0"/>
    <n v="0"/>
    <m/>
    <m/>
    <m/>
    <m/>
    <m/>
    <m/>
    <m/>
    <m/>
    <m/>
    <m/>
    <m/>
    <m/>
  </r>
  <r>
    <x v="9"/>
    <s v="Nash Community College"/>
    <m/>
    <n v="199087"/>
    <x v="7"/>
    <n v="58338"/>
    <n v="61946"/>
    <n v="47751"/>
    <n v="49717"/>
    <n v="2510"/>
    <n v="2690"/>
    <n v="8077"/>
    <n v="0"/>
    <n v="0"/>
    <n v="9302"/>
    <n v="237"/>
    <n v="0"/>
    <m/>
    <m/>
    <n v="0"/>
    <n v="0"/>
    <m/>
    <m/>
    <m/>
    <m/>
    <m/>
    <m/>
    <m/>
    <m/>
    <m/>
    <m/>
    <m/>
    <m/>
  </r>
  <r>
    <x v="9"/>
    <s v="Piedmont Community College"/>
    <s v="Reclassified, meets the criteria for Two-Year 3."/>
    <n v="199324"/>
    <x v="8"/>
    <n v="54201"/>
    <n v="55522"/>
    <n v="34595"/>
    <n v="35368"/>
    <n v="5207"/>
    <n v="4487"/>
    <n v="12091"/>
    <n v="2179"/>
    <n v="129"/>
    <n v="12729"/>
    <n v="2908"/>
    <n v="30"/>
    <m/>
    <m/>
    <n v="0"/>
    <n v="0"/>
    <m/>
    <m/>
    <m/>
    <m/>
    <m/>
    <m/>
    <m/>
    <m/>
    <m/>
    <m/>
    <m/>
    <m/>
  </r>
  <r>
    <x v="9"/>
    <s v="Randolph Community College"/>
    <m/>
    <n v="199421"/>
    <x v="7"/>
    <n v="55502"/>
    <n v="63901"/>
    <n v="38867"/>
    <n v="45587"/>
    <n v="2913"/>
    <n v="3474"/>
    <n v="11951"/>
    <n v="1771"/>
    <n v="0"/>
    <n v="12979"/>
    <n v="1475"/>
    <n v="386"/>
    <m/>
    <m/>
    <n v="0"/>
    <n v="0"/>
    <m/>
    <m/>
    <m/>
    <m/>
    <m/>
    <m/>
    <m/>
    <m/>
    <m/>
    <m/>
    <m/>
    <m/>
  </r>
  <r>
    <x v="9"/>
    <s v="Richmond Community College"/>
    <s v="Reclassified, meets the criteria for Two-Year 3."/>
    <n v="199449"/>
    <x v="8"/>
    <n v="34656"/>
    <n v="40043"/>
    <n v="29248"/>
    <n v="34416"/>
    <n v="629"/>
    <n v="527"/>
    <n v="4755"/>
    <n v="24"/>
    <n v="0"/>
    <n v="5049"/>
    <n v="51"/>
    <n v="0"/>
    <m/>
    <m/>
    <n v="0"/>
    <n v="0"/>
    <m/>
    <m/>
    <m/>
    <m/>
    <m/>
    <m/>
    <m/>
    <m/>
    <m/>
    <m/>
    <m/>
    <m/>
  </r>
  <r>
    <x v="9"/>
    <s v="Robeson Community College"/>
    <m/>
    <n v="199476"/>
    <x v="7"/>
    <n v="58825"/>
    <n v="62535"/>
    <n v="46438"/>
    <n v="49529"/>
    <n v="2756"/>
    <n v="2788"/>
    <n v="9559"/>
    <n v="72"/>
    <n v="0"/>
    <n v="10218"/>
    <n v="0"/>
    <n v="0"/>
    <m/>
    <m/>
    <n v="0"/>
    <n v="0"/>
    <m/>
    <m/>
    <m/>
    <m/>
    <m/>
    <m/>
    <m/>
    <m/>
    <m/>
    <m/>
    <m/>
    <m/>
  </r>
  <r>
    <x v="9"/>
    <s v="Rockingham Community College "/>
    <s v="Reclassified, meets the criteria for Two-Year 3."/>
    <n v="199485"/>
    <x v="8"/>
    <n v="49330"/>
    <n v="53407"/>
    <n v="45115"/>
    <n v="48837"/>
    <n v="48"/>
    <n v="0"/>
    <n v="3990"/>
    <n v="6"/>
    <n v="171"/>
    <n v="4441"/>
    <n v="60"/>
    <n v="69"/>
    <m/>
    <m/>
    <n v="0"/>
    <n v="0"/>
    <m/>
    <m/>
    <m/>
    <m/>
    <m/>
    <m/>
    <m/>
    <m/>
    <m/>
    <m/>
    <m/>
    <m/>
  </r>
  <r>
    <x v="9"/>
    <s v="Sandhills Community College "/>
    <m/>
    <n v="199634"/>
    <x v="7"/>
    <n v="84647"/>
    <n v="89719"/>
    <n v="66331"/>
    <n v="69781"/>
    <n v="2567"/>
    <n v="1517"/>
    <n v="15749"/>
    <n v="0"/>
    <n v="0"/>
    <n v="18421"/>
    <n v="0"/>
    <n v="0"/>
    <m/>
    <m/>
    <n v="0"/>
    <n v="0"/>
    <m/>
    <m/>
    <m/>
    <m/>
    <m/>
    <m/>
    <m/>
    <m/>
    <m/>
    <m/>
    <m/>
    <m/>
  </r>
  <r>
    <x v="9"/>
    <s v="South Piedmont Community College"/>
    <s v="Reclassified, meets the criteria for Two-Year 3."/>
    <n v="197850"/>
    <x v="8"/>
    <n v="47847"/>
    <n v="53273"/>
    <n v="25987"/>
    <n v="31275"/>
    <n v="3210"/>
    <n v="2967"/>
    <n v="17707"/>
    <n v="943"/>
    <n v="0"/>
    <n v="18532"/>
    <n v="499"/>
    <n v="0"/>
    <m/>
    <m/>
    <n v="0"/>
    <n v="0"/>
    <m/>
    <m/>
    <m/>
    <m/>
    <m/>
    <m/>
    <m/>
    <m/>
    <m/>
    <m/>
    <m/>
    <m/>
  </r>
  <r>
    <x v="9"/>
    <s v="Southeastern Community College "/>
    <s v="Reclassified, meets the criteria for Two-Year 3."/>
    <n v="199722"/>
    <x v="8"/>
    <n v="48848"/>
    <n v="49508"/>
    <n v="32355"/>
    <n v="31608"/>
    <n v="1924"/>
    <n v="720"/>
    <n v="14404"/>
    <n v="165"/>
    <n v="0"/>
    <n v="16788"/>
    <n v="392"/>
    <n v="0"/>
    <m/>
    <m/>
    <n v="0"/>
    <n v="0"/>
    <m/>
    <m/>
    <m/>
    <m/>
    <m/>
    <m/>
    <m/>
    <m/>
    <m/>
    <m/>
    <m/>
    <m/>
  </r>
  <r>
    <x v="9"/>
    <s v="Southwestern Community College "/>
    <s v="Reclassified, meets the criteria for Two-Year 3."/>
    <n v="199731"/>
    <x v="8"/>
    <n v="49656"/>
    <n v="55269"/>
    <n v="32996"/>
    <n v="35483"/>
    <n v="2986"/>
    <n v="3177"/>
    <n v="11584"/>
    <n v="2090"/>
    <n v="0"/>
    <n v="14435"/>
    <n v="2174"/>
    <n v="0"/>
    <m/>
    <m/>
    <n v="0"/>
    <n v="0"/>
    <m/>
    <m/>
    <m/>
    <m/>
    <m/>
    <m/>
    <m/>
    <m/>
    <m/>
    <m/>
    <m/>
    <m/>
  </r>
  <r>
    <x v="9"/>
    <s v="Stanly Community College"/>
    <m/>
    <n v="199740"/>
    <x v="7"/>
    <n v="63226"/>
    <n v="69443"/>
    <n v="28153"/>
    <n v="30382"/>
    <n v="4236"/>
    <n v="3903"/>
    <n v="28452"/>
    <n v="2385"/>
    <n v="0"/>
    <n v="32392"/>
    <n v="2766"/>
    <n v="0"/>
    <m/>
    <m/>
    <n v="0"/>
    <n v="0"/>
    <m/>
    <m/>
    <m/>
    <m/>
    <m/>
    <m/>
    <m/>
    <m/>
    <m/>
    <m/>
    <m/>
    <m/>
  </r>
  <r>
    <x v="9"/>
    <s v="Surry Community College "/>
    <m/>
    <n v="199768"/>
    <x v="7"/>
    <n v="74615"/>
    <n v="76882"/>
    <n v="57857"/>
    <n v="58143"/>
    <n v="92"/>
    <n v="150"/>
    <n v="15731"/>
    <n v="935"/>
    <n v="0"/>
    <n v="17523"/>
    <n v="1066"/>
    <n v="0"/>
    <m/>
    <m/>
    <n v="0"/>
    <n v="0"/>
    <m/>
    <m/>
    <m/>
    <m/>
    <m/>
    <m/>
    <m/>
    <m/>
    <m/>
    <m/>
    <m/>
    <m/>
  </r>
  <r>
    <x v="9"/>
    <s v="Vance-Granville Community College "/>
    <m/>
    <n v="199838"/>
    <x v="7"/>
    <n v="89866"/>
    <n v="87227"/>
    <n v="59055"/>
    <n v="59223"/>
    <n v="8900"/>
    <n v="6129"/>
    <n v="20685"/>
    <n v="1226"/>
    <n v="0"/>
    <n v="20533"/>
    <n v="1342"/>
    <n v="0"/>
    <m/>
    <m/>
    <n v="0"/>
    <n v="0"/>
    <m/>
    <m/>
    <m/>
    <m/>
    <m/>
    <m/>
    <m/>
    <m/>
    <m/>
    <m/>
    <m/>
    <m/>
  </r>
  <r>
    <x v="9"/>
    <s v="Wayne Community College"/>
    <m/>
    <n v="199892"/>
    <x v="7"/>
    <n v="76026"/>
    <n v="83747"/>
    <n v="52602"/>
    <n v="58184"/>
    <n v="4353"/>
    <n v="3936"/>
    <n v="18753"/>
    <n v="0"/>
    <n v="318"/>
    <n v="21492"/>
    <n v="0"/>
    <n v="135"/>
    <m/>
    <m/>
    <n v="0"/>
    <n v="0"/>
    <m/>
    <m/>
    <m/>
    <m/>
    <m/>
    <m/>
    <m/>
    <m/>
    <m/>
    <m/>
    <m/>
    <m/>
  </r>
  <r>
    <x v="9"/>
    <s v="Western Piedmont Community College "/>
    <m/>
    <n v="199908"/>
    <x v="7"/>
    <n v="76180"/>
    <n v="81492"/>
    <n v="55644"/>
    <n v="59509"/>
    <n v="4942"/>
    <n v="2812"/>
    <n v="15594"/>
    <n v="0"/>
    <n v="0"/>
    <n v="19171"/>
    <n v="0"/>
    <n v="0"/>
    <m/>
    <m/>
    <n v="0"/>
    <n v="0"/>
    <m/>
    <m/>
    <m/>
    <m/>
    <m/>
    <m/>
    <m/>
    <m/>
    <m/>
    <m/>
    <m/>
    <m/>
  </r>
  <r>
    <x v="9"/>
    <s v="Wilkes Community College "/>
    <m/>
    <n v="199926"/>
    <x v="7"/>
    <n v="63169"/>
    <n v="65818"/>
    <n v="51581"/>
    <n v="52622"/>
    <n v="997"/>
    <n v="644"/>
    <n v="7156"/>
    <n v="3435"/>
    <n v="0"/>
    <n v="8618"/>
    <n v="3934"/>
    <n v="0"/>
    <m/>
    <m/>
    <n v="0"/>
    <n v="0"/>
    <m/>
    <m/>
    <m/>
    <m/>
    <m/>
    <m/>
    <m/>
    <m/>
    <m/>
    <m/>
    <m/>
    <m/>
  </r>
  <r>
    <x v="9"/>
    <s v="Wilson Technical Community College"/>
    <s v="Reclassified, meets the criteria for Two-Year 3."/>
    <n v="199953"/>
    <x v="8"/>
    <n v="48240"/>
    <n v="51984"/>
    <n v="30506"/>
    <n v="33436"/>
    <n v="2924"/>
    <n v="1400"/>
    <n v="11214"/>
    <n v="0"/>
    <n v="3596"/>
    <n v="14148"/>
    <n v="0"/>
    <n v="3000"/>
    <m/>
    <m/>
    <n v="0"/>
    <n v="0"/>
    <m/>
    <m/>
    <m/>
    <m/>
    <m/>
    <m/>
    <m/>
    <m/>
    <m/>
    <m/>
    <m/>
    <m/>
  </r>
  <r>
    <x v="9"/>
    <s v="Beaufort County Community College "/>
    <m/>
    <n v="197966"/>
    <x v="8"/>
    <n v="37755"/>
    <n v="40002"/>
    <n v="27735"/>
    <n v="30884"/>
    <n v="2569"/>
    <n v="1987"/>
    <n v="6945"/>
    <n v="0"/>
    <n v="506"/>
    <n v="6788"/>
    <n v="0"/>
    <n v="343"/>
    <m/>
    <m/>
    <n v="0"/>
    <n v="0"/>
    <m/>
    <m/>
    <m/>
    <m/>
    <m/>
    <m/>
    <m/>
    <m/>
    <m/>
    <m/>
    <m/>
    <m/>
  </r>
  <r>
    <x v="9"/>
    <s v="Bladen Community College"/>
    <m/>
    <n v="198011"/>
    <x v="8"/>
    <n v="35922"/>
    <n v="42382"/>
    <n v="21856"/>
    <n v="24167"/>
    <n v="625"/>
    <n v="511"/>
    <n v="9297"/>
    <n v="1168"/>
    <n v="2976"/>
    <n v="12674"/>
    <n v="2495"/>
    <n v="2535"/>
    <m/>
    <m/>
    <n v="0"/>
    <n v="0"/>
    <m/>
    <m/>
    <m/>
    <m/>
    <m/>
    <m/>
    <m/>
    <m/>
    <m/>
    <m/>
    <m/>
    <m/>
  </r>
  <r>
    <x v="9"/>
    <s v="Brunswick Community College"/>
    <m/>
    <n v="198084"/>
    <x v="8"/>
    <n v="30703"/>
    <n v="30834"/>
    <n v="25853"/>
    <n v="24442"/>
    <n v="109"/>
    <n v="108"/>
    <n v="4502"/>
    <n v="239"/>
    <n v="0"/>
    <n v="6131"/>
    <n v="153"/>
    <n v="0"/>
    <m/>
    <m/>
    <n v="0"/>
    <n v="0"/>
    <m/>
    <m/>
    <m/>
    <m/>
    <m/>
    <m/>
    <m/>
    <m/>
    <m/>
    <m/>
    <m/>
    <m/>
  </r>
  <r>
    <x v="9"/>
    <s v="Carteret Community College"/>
    <m/>
    <n v="198206"/>
    <x v="8"/>
    <n v="37150"/>
    <n v="39825"/>
    <n v="25823"/>
    <n v="28394"/>
    <n v="1878"/>
    <n v="1273"/>
    <n v="9449"/>
    <n v="0"/>
    <n v="0"/>
    <n v="10158"/>
    <n v="0"/>
    <n v="0"/>
    <m/>
    <m/>
    <n v="0"/>
    <n v="0"/>
    <m/>
    <m/>
    <m/>
    <m/>
    <m/>
    <m/>
    <m/>
    <m/>
    <m/>
    <m/>
    <m/>
    <m/>
  </r>
  <r>
    <x v="9"/>
    <s v="Halifax Community College "/>
    <m/>
    <n v="198640"/>
    <x v="8"/>
    <n v="34210"/>
    <n v="40188"/>
    <n v="24839"/>
    <n v="28115"/>
    <n v="2925"/>
    <n v="3750"/>
    <n v="6170"/>
    <n v="276"/>
    <n v="0"/>
    <n v="7897"/>
    <n v="426"/>
    <n v="0"/>
    <m/>
    <m/>
    <n v="0"/>
    <n v="0"/>
    <m/>
    <m/>
    <m/>
    <m/>
    <m/>
    <m/>
    <m/>
    <m/>
    <m/>
    <m/>
    <m/>
    <m/>
  </r>
  <r>
    <x v="9"/>
    <s v="James Sprunt Community College"/>
    <m/>
    <n v="198729"/>
    <x v="8"/>
    <n v="30124"/>
    <n v="32854"/>
    <n v="22377"/>
    <n v="23526"/>
    <n v="2838"/>
    <n v="2277"/>
    <n v="4528"/>
    <n v="381"/>
    <n v="0"/>
    <n v="6502"/>
    <n v="549"/>
    <n v="0"/>
    <m/>
    <m/>
    <n v="0"/>
    <n v="0"/>
    <m/>
    <m/>
    <m/>
    <m/>
    <m/>
    <m/>
    <m/>
    <m/>
    <m/>
    <m/>
    <m/>
    <m/>
  </r>
  <r>
    <x v="9"/>
    <s v="Martin Community College "/>
    <m/>
    <n v="198905"/>
    <x v="8"/>
    <n v="14875"/>
    <n v="16268"/>
    <n v="10324"/>
    <n v="12016"/>
    <n v="716"/>
    <n v="725"/>
    <n v="3700"/>
    <n v="135"/>
    <n v="0"/>
    <n v="3395"/>
    <n v="132"/>
    <n v="0"/>
    <m/>
    <m/>
    <n v="0"/>
    <n v="0"/>
    <m/>
    <m/>
    <m/>
    <m/>
    <m/>
    <m/>
    <m/>
    <m/>
    <m/>
    <m/>
    <m/>
    <m/>
  </r>
  <r>
    <x v="9"/>
    <s v="McDowell Technical Community College"/>
    <m/>
    <n v="198923"/>
    <x v="8"/>
    <n v="34022"/>
    <n v="36927"/>
    <n v="29202"/>
    <n v="31461"/>
    <n v="2317"/>
    <n v="1841"/>
    <n v="2095"/>
    <n v="216"/>
    <n v="192"/>
    <n v="3262"/>
    <n v="105"/>
    <n v="258"/>
    <m/>
    <m/>
    <n v="0"/>
    <n v="0"/>
    <m/>
    <m/>
    <m/>
    <m/>
    <m/>
    <m/>
    <m/>
    <m/>
    <m/>
    <m/>
    <m/>
    <m/>
  </r>
  <r>
    <x v="9"/>
    <s v="Montgomery Community College"/>
    <m/>
    <n v="199023"/>
    <x v="8"/>
    <n v="19887"/>
    <n v="19795"/>
    <n v="12324"/>
    <n v="12895"/>
    <n v="2829"/>
    <n v="1514"/>
    <n v="4212"/>
    <n v="522"/>
    <n v="0"/>
    <n v="5053"/>
    <n v="333"/>
    <n v="0"/>
    <m/>
    <m/>
    <n v="0"/>
    <n v="0"/>
    <m/>
    <m/>
    <m/>
    <m/>
    <m/>
    <m/>
    <m/>
    <m/>
    <m/>
    <m/>
    <m/>
    <m/>
  </r>
  <r>
    <x v="9"/>
    <s v="Pamlico Community College"/>
    <m/>
    <n v="199263"/>
    <x v="8"/>
    <n v="10851"/>
    <n v="12703"/>
    <n v="5008"/>
    <n v="4921"/>
    <n v="3134"/>
    <n v="2957"/>
    <n v="2688"/>
    <n v="21"/>
    <n v="0"/>
    <n v="4780"/>
    <n v="33"/>
    <n v="12"/>
    <m/>
    <m/>
    <n v="0"/>
    <n v="0"/>
    <m/>
    <m/>
    <m/>
    <m/>
    <m/>
    <m/>
    <m/>
    <m/>
    <m/>
    <m/>
    <m/>
    <m/>
  </r>
  <r>
    <x v="9"/>
    <s v="Roanoke-Chowan Community College"/>
    <m/>
    <n v="199467"/>
    <x v="8"/>
    <n v="16351"/>
    <n v="17878"/>
    <n v="11579"/>
    <n v="12966"/>
    <n v="1612"/>
    <n v="1544"/>
    <n v="3106"/>
    <n v="54"/>
    <n v="0"/>
    <n v="3290"/>
    <n v="78"/>
    <n v="0"/>
    <m/>
    <m/>
    <n v="0"/>
    <n v="0"/>
    <m/>
    <m/>
    <m/>
    <m/>
    <m/>
    <m/>
    <m/>
    <m/>
    <m/>
    <m/>
    <m/>
    <m/>
  </r>
  <r>
    <x v="9"/>
    <s v="Sampson Community College"/>
    <m/>
    <n v="199625"/>
    <x v="8"/>
    <n v="31436"/>
    <n v="33561"/>
    <n v="26703"/>
    <n v="29268"/>
    <n v="1171"/>
    <n v="599"/>
    <n v="2737"/>
    <n v="825"/>
    <n v="0"/>
    <n v="3043"/>
    <n v="651"/>
    <n v="0"/>
    <m/>
    <m/>
    <n v="0"/>
    <n v="0"/>
    <m/>
    <m/>
    <m/>
    <m/>
    <m/>
    <m/>
    <m/>
    <m/>
    <m/>
    <m/>
    <m/>
    <m/>
  </r>
  <r>
    <x v="9"/>
    <s v="Tri-County Community College "/>
    <m/>
    <n v="199795"/>
    <x v="8"/>
    <n v="27573"/>
    <n v="29859"/>
    <n v="18354"/>
    <n v="18499"/>
    <n v="1220"/>
    <n v="1081"/>
    <n v="7410"/>
    <n v="589"/>
    <n v="0"/>
    <n v="9760"/>
    <n v="519"/>
    <n v="0"/>
    <m/>
    <m/>
    <n v="0"/>
    <n v="0"/>
    <m/>
    <m/>
    <m/>
    <m/>
    <m/>
    <m/>
    <m/>
    <m/>
    <m/>
    <m/>
    <m/>
    <m/>
  </r>
  <r>
    <x v="10"/>
    <s v="Oklahoma State University Main Campus"/>
    <m/>
    <n v="207388"/>
    <x v="0"/>
    <n v="491494"/>
    <n v="545364"/>
    <n v="468284"/>
    <n v="510262"/>
    <n v="6"/>
    <n v="2027"/>
    <n v="20914"/>
    <n v="0"/>
    <n v="1978"/>
    <n v="31771"/>
    <n v="3"/>
    <n v="222"/>
    <n v="312"/>
    <n v="1079"/>
    <n v="67975"/>
    <n v="75181"/>
    <n v="56151"/>
    <n v="60781"/>
    <n v="21"/>
    <n v="1095"/>
    <n v="9303"/>
    <n v="6"/>
    <n v="2212"/>
    <n v="11886"/>
    <n v="4"/>
    <n v="1093"/>
    <n v="282"/>
    <n v="322"/>
  </r>
  <r>
    <x v="10"/>
    <s v="University of Oklahoma Norman Campus"/>
    <m/>
    <n v="207500"/>
    <x v="0"/>
    <n v="541043"/>
    <n v="527383"/>
    <n v="503740"/>
    <n v="473507"/>
    <n v="905"/>
    <n v="2987"/>
    <n v="35377"/>
    <n v="258"/>
    <n v="243"/>
    <n v="50077"/>
    <n v="156"/>
    <n v="656"/>
    <n v="520"/>
    <m/>
    <n v="82617"/>
    <n v="92405"/>
    <n v="62384"/>
    <n v="68036"/>
    <n v="11864"/>
    <n v="12572"/>
    <n v="7418"/>
    <n v="951"/>
    <m/>
    <n v="10279"/>
    <n v="225"/>
    <n v="1276"/>
    <m/>
    <n v="17"/>
  </r>
  <r>
    <x v="10"/>
    <s v="Northeastern State University"/>
    <m/>
    <n v="207263"/>
    <x v="2"/>
    <n v="200335"/>
    <n v="209439"/>
    <n v="173989"/>
    <n v="179652"/>
    <n v="0"/>
    <m/>
    <n v="25639"/>
    <n v="707"/>
    <m/>
    <n v="28881"/>
    <n v="906"/>
    <m/>
    <m/>
    <m/>
    <n v="20039"/>
    <n v="20480"/>
    <n v="18797"/>
    <n v="18998"/>
    <n v="0"/>
    <m/>
    <n v="792"/>
    <n v="450"/>
    <m/>
    <n v="914"/>
    <n v="568"/>
    <m/>
    <m/>
    <m/>
  </r>
  <r>
    <x v="10"/>
    <s v="University of Central Oklahoma"/>
    <m/>
    <n v="206941"/>
    <x v="2"/>
    <n v="340874"/>
    <n v="361155"/>
    <n v="318949"/>
    <n v="342653"/>
    <n v="3513"/>
    <n v="1931"/>
    <n v="14412"/>
    <n v="423"/>
    <n v="3577"/>
    <n v="14554"/>
    <n v="219"/>
    <n v="1798"/>
    <m/>
    <m/>
    <n v="23841"/>
    <n v="27571"/>
    <n v="20218"/>
    <n v="23434"/>
    <n v="802"/>
    <n v="1942"/>
    <n v="1258"/>
    <n v="233"/>
    <n v="1330"/>
    <n v="1002"/>
    <n v="104"/>
    <n v="1089"/>
    <m/>
    <m/>
  </r>
  <r>
    <x v="10"/>
    <s v="Cameron University "/>
    <m/>
    <n v="206914"/>
    <x v="4"/>
    <n v="127416"/>
    <n v="138667"/>
    <n v="102960"/>
    <n v="110587"/>
    <n v="0"/>
    <n v="1603"/>
    <n v="13985"/>
    <n v="10471"/>
    <m/>
    <n v="17009"/>
    <n v="9468"/>
    <m/>
    <m/>
    <m/>
    <n v="6081"/>
    <n v="6920"/>
    <n v="2964"/>
    <n v="3224"/>
    <m/>
    <m/>
    <n v="2196"/>
    <n v="921"/>
    <m/>
    <n v="2406"/>
    <n v="1290"/>
    <m/>
    <m/>
    <m/>
  </r>
  <r>
    <x v="10"/>
    <s v="East Central University "/>
    <m/>
    <n v="207041"/>
    <x v="4"/>
    <n v="98917"/>
    <n v="106266"/>
    <n v="83908"/>
    <n v="89628"/>
    <n v="53"/>
    <n v="71"/>
    <n v="7126"/>
    <n v="2737"/>
    <n v="5093"/>
    <n v="7854"/>
    <n v="3563"/>
    <n v="5150"/>
    <m/>
    <m/>
    <n v="14754"/>
    <n v="15849"/>
    <n v="6452"/>
    <n v="5596"/>
    <n v="469"/>
    <n v="504"/>
    <n v="5674"/>
    <n v="1412"/>
    <n v="747"/>
    <n v="7742"/>
    <n v="1410"/>
    <n v="597"/>
    <m/>
    <m/>
  </r>
  <r>
    <x v="10"/>
    <s v="Langston University"/>
    <m/>
    <n v="207209"/>
    <x v="4"/>
    <n v="64795"/>
    <n v="62125"/>
    <n v="64795"/>
    <n v="61293"/>
    <n v="0"/>
    <m/>
    <m/>
    <m/>
    <m/>
    <n v="322"/>
    <n v="510"/>
    <m/>
    <m/>
    <m/>
    <n v="8996"/>
    <n v="8632"/>
    <n v="8996"/>
    <n v="7696"/>
    <n v="0"/>
    <m/>
    <m/>
    <m/>
    <m/>
    <n v="786"/>
    <n v="150"/>
    <m/>
    <m/>
    <m/>
  </r>
  <r>
    <x v="10"/>
    <s v="Northwestern Oklahoma State University "/>
    <m/>
    <n v="207306"/>
    <x v="4"/>
    <n v="51212"/>
    <n v="53520"/>
    <n v="37033"/>
    <n v="38882"/>
    <n v="102"/>
    <n v="162"/>
    <n v="4980"/>
    <n v="8788"/>
    <n v="309"/>
    <n v="4947"/>
    <n v="9124"/>
    <n v="405"/>
    <m/>
    <m/>
    <n v="2866"/>
    <n v="2648"/>
    <n v="1580"/>
    <n v="1443"/>
    <m/>
    <n v="5"/>
    <n v="349"/>
    <n v="937"/>
    <m/>
    <n v="204"/>
    <n v="996"/>
    <m/>
    <m/>
    <m/>
  </r>
  <r>
    <x v="10"/>
    <s v="Southeastern Oklahoma State University "/>
    <s v="Met the criteria for Four-Year 4 in 2010-11."/>
    <n v="207847"/>
    <x v="4"/>
    <n v="96131"/>
    <n v="99728"/>
    <n v="69062"/>
    <n v="71663"/>
    <n v="36"/>
    <n v="792"/>
    <n v="22579"/>
    <n v="4454"/>
    <m/>
    <n v="22514"/>
    <n v="1831"/>
    <n v="2928"/>
    <m/>
    <m/>
    <n v="6234"/>
    <n v="5841"/>
    <n v="3890"/>
    <n v="3549"/>
    <n v="45"/>
    <n v="219"/>
    <n v="1462"/>
    <n v="738"/>
    <n v="99"/>
    <n v="1452"/>
    <n v="285"/>
    <n v="336"/>
    <m/>
    <m/>
  </r>
  <r>
    <x v="10"/>
    <s v="Southwestern Oklahoma State University"/>
    <m/>
    <n v="207865"/>
    <x v="4"/>
    <n v="118141"/>
    <n v="124302"/>
    <n v="109577"/>
    <n v="112608"/>
    <n v="1153"/>
    <n v="1283"/>
    <n v="4198"/>
    <n v="2094"/>
    <n v="1119"/>
    <n v="7054"/>
    <n v="1788"/>
    <n v="1569"/>
    <m/>
    <m/>
    <n v="11958"/>
    <n v="13777"/>
    <n v="8158"/>
    <n v="8852"/>
    <m/>
    <m/>
    <n v="458"/>
    <n v="3339"/>
    <n v="3"/>
    <n v="1415"/>
    <n v="3510"/>
    <m/>
    <m/>
    <m/>
  </r>
  <r>
    <x v="10"/>
    <s v="Oklahoma Panhandle State University "/>
    <m/>
    <n v="207351"/>
    <x v="5"/>
    <n v="33589"/>
    <n v="37412"/>
    <n v="28405"/>
    <n v="31053"/>
    <m/>
    <m/>
    <n v="4977"/>
    <n v="207"/>
    <m/>
    <n v="6131"/>
    <n v="228"/>
    <m/>
    <m/>
    <m/>
    <n v="0"/>
    <n v="0"/>
    <m/>
    <m/>
    <m/>
    <m/>
    <m/>
    <m/>
    <m/>
    <m/>
    <m/>
    <m/>
    <m/>
    <m/>
  </r>
  <r>
    <x v="10"/>
    <s v="Rogers State University"/>
    <m/>
    <n v="207661"/>
    <x v="5"/>
    <n v="91805"/>
    <n v="100335"/>
    <n v="61739"/>
    <n v="68677"/>
    <n v="1271"/>
    <n v="2541"/>
    <n v="24175"/>
    <n v="4072"/>
    <n v="548"/>
    <n v="26138"/>
    <n v="2979"/>
    <m/>
    <m/>
    <m/>
    <n v="0"/>
    <n v="0"/>
    <m/>
    <m/>
    <m/>
    <m/>
    <m/>
    <m/>
    <m/>
    <m/>
    <m/>
    <m/>
    <m/>
    <m/>
  </r>
  <r>
    <x v="10"/>
    <s v="University of Science and Arts of Oklahoma"/>
    <m/>
    <n v="207722"/>
    <x v="5"/>
    <n v="31435"/>
    <n v="31198"/>
    <n v="31292"/>
    <n v="31086"/>
    <n v="143"/>
    <n v="112"/>
    <m/>
    <m/>
    <m/>
    <m/>
    <m/>
    <m/>
    <m/>
    <m/>
    <n v="0"/>
    <n v="0"/>
    <m/>
    <m/>
    <m/>
    <m/>
    <m/>
    <m/>
    <m/>
    <m/>
    <m/>
    <m/>
    <m/>
    <m/>
  </r>
  <r>
    <x v="10"/>
    <s v="Oklahoma State University Technical Branch-Okmulgee "/>
    <m/>
    <n v="207564"/>
    <x v="11"/>
    <n v="98559"/>
    <n v="96782"/>
    <n v="77757"/>
    <n v="78449"/>
    <n v="20802"/>
    <n v="12372"/>
    <m/>
    <m/>
    <m/>
    <n v="5961"/>
    <m/>
    <m/>
    <m/>
    <m/>
    <n v="0"/>
    <n v="0"/>
    <m/>
    <m/>
    <m/>
    <m/>
    <m/>
    <m/>
    <m/>
    <m/>
    <m/>
    <m/>
    <m/>
    <m/>
  </r>
  <r>
    <x v="10"/>
    <s v="Oklahoma City Community College "/>
    <m/>
    <n v="207449"/>
    <x v="6"/>
    <n v="264844"/>
    <n v="291030"/>
    <n v="192597"/>
    <n v="213599"/>
    <n v="22075"/>
    <n v="19210"/>
    <n v="37898"/>
    <n v="0"/>
    <n v="128"/>
    <n v="42507"/>
    <m/>
    <n v="96"/>
    <n v="12146"/>
    <n v="15618"/>
    <n v="0"/>
    <n v="0"/>
    <m/>
    <m/>
    <m/>
    <m/>
    <m/>
    <m/>
    <m/>
    <m/>
    <m/>
    <m/>
    <m/>
    <m/>
  </r>
  <r>
    <x v="10"/>
    <s v="Tulsa Community College "/>
    <m/>
    <n v="207935"/>
    <x v="6"/>
    <n v="374850"/>
    <n v="355979"/>
    <n v="280242"/>
    <n v="275136"/>
    <n v="13694"/>
    <n v="11756"/>
    <n v="78846"/>
    <n v="249"/>
    <n v="1819"/>
    <n v="69087"/>
    <m/>
    <m/>
    <m/>
    <m/>
    <n v="0"/>
    <n v="0"/>
    <m/>
    <m/>
    <m/>
    <m/>
    <m/>
    <m/>
    <m/>
    <m/>
    <m/>
    <m/>
    <m/>
    <m/>
  </r>
  <r>
    <x v="10"/>
    <s v="Northern Oklahoma College "/>
    <m/>
    <n v="207281"/>
    <x v="7"/>
    <n v="105661"/>
    <n v="112504"/>
    <n v="79947"/>
    <n v="78870"/>
    <n v="7485"/>
    <n v="9044"/>
    <n v="5635"/>
    <n v="11305"/>
    <n v="102"/>
    <n v="8935"/>
    <n v="15208"/>
    <n v="363"/>
    <n v="1187"/>
    <n v="84"/>
    <n v="0"/>
    <n v="0"/>
    <m/>
    <m/>
    <m/>
    <m/>
    <m/>
    <m/>
    <m/>
    <m/>
    <m/>
    <m/>
    <m/>
    <m/>
  </r>
  <r>
    <x v="10"/>
    <s v="Oklahoma State University-Oklahoma City "/>
    <m/>
    <n v="207397"/>
    <x v="7"/>
    <n v="130851"/>
    <n v="159604"/>
    <n v="92801"/>
    <n v="108255"/>
    <m/>
    <n v="1945"/>
    <n v="32617"/>
    <n v="0"/>
    <n v="5433"/>
    <n v="43192"/>
    <n v="3256"/>
    <n v="2956"/>
    <m/>
    <m/>
    <n v="0"/>
    <n v="0"/>
    <m/>
    <m/>
    <m/>
    <m/>
    <m/>
    <m/>
    <m/>
    <m/>
    <m/>
    <m/>
    <m/>
    <m/>
  </r>
  <r>
    <x v="10"/>
    <s v="Rose State College "/>
    <m/>
    <n v="207670"/>
    <x v="7"/>
    <n v="150857"/>
    <n v="167587"/>
    <n v="112770"/>
    <n v="124708"/>
    <n v="8904"/>
    <n v="9862"/>
    <n v="25696"/>
    <n v="162"/>
    <n v="3325"/>
    <n v="29544"/>
    <n v="404"/>
    <n v="3069"/>
    <m/>
    <m/>
    <n v="0"/>
    <n v="0"/>
    <m/>
    <m/>
    <m/>
    <m/>
    <m/>
    <m/>
    <m/>
    <m/>
    <m/>
    <m/>
    <m/>
    <m/>
  </r>
  <r>
    <x v="10"/>
    <s v="Carl Albert State College"/>
    <m/>
    <n v="206923"/>
    <x v="8"/>
    <n v="57326"/>
    <n v="65407"/>
    <n v="44738"/>
    <n v="25901"/>
    <n v="26"/>
    <n v="31"/>
    <n v="12166"/>
    <n v="396"/>
    <m/>
    <n v="14695"/>
    <n v="423"/>
    <n v="24357"/>
    <m/>
    <m/>
    <n v="0"/>
    <n v="0"/>
    <m/>
    <m/>
    <m/>
    <m/>
    <m/>
    <m/>
    <m/>
    <m/>
    <m/>
    <m/>
    <m/>
    <m/>
  </r>
  <r>
    <x v="10"/>
    <s v="Connors State College "/>
    <m/>
    <n v="206996"/>
    <x v="8"/>
    <n v="50750"/>
    <n v="57524"/>
    <n v="31478"/>
    <n v="38883"/>
    <n v="8244"/>
    <n v="8563"/>
    <n v="5312"/>
    <n v="5716"/>
    <m/>
    <n v="4308"/>
    <n v="5770"/>
    <m/>
    <m/>
    <m/>
    <n v="0"/>
    <n v="0"/>
    <m/>
    <m/>
    <m/>
    <m/>
    <m/>
    <m/>
    <m/>
    <m/>
    <m/>
    <m/>
    <m/>
    <m/>
  </r>
  <r>
    <x v="10"/>
    <s v="Eastern Oklahoma State College "/>
    <m/>
    <n v="207050"/>
    <x v="8"/>
    <n v="43058"/>
    <n v="46267"/>
    <n v="31738"/>
    <n v="33941"/>
    <n v="3858"/>
    <n v="3516"/>
    <n v="5164"/>
    <n v="2298"/>
    <m/>
    <n v="5352"/>
    <n v="3458"/>
    <m/>
    <m/>
    <m/>
    <n v="0"/>
    <n v="0"/>
    <m/>
    <m/>
    <m/>
    <m/>
    <m/>
    <m/>
    <m/>
    <m/>
    <m/>
    <m/>
    <m/>
    <m/>
  </r>
  <r>
    <x v="10"/>
    <s v="Murray State College "/>
    <m/>
    <n v="207236"/>
    <x v="8"/>
    <n v="53094"/>
    <n v="60760"/>
    <n v="36706"/>
    <n v="40625"/>
    <n v="621"/>
    <n v="2380"/>
    <n v="10405"/>
    <n v="5362"/>
    <m/>
    <n v="10403"/>
    <n v="7352"/>
    <m/>
    <m/>
    <m/>
    <n v="0"/>
    <n v="0"/>
    <m/>
    <m/>
    <m/>
    <m/>
    <m/>
    <m/>
    <m/>
    <m/>
    <m/>
    <m/>
    <m/>
    <m/>
  </r>
  <r>
    <x v="10"/>
    <s v="Northeastern Oklahoma A &amp; M College "/>
    <m/>
    <n v="207290"/>
    <x v="8"/>
    <n v="51826"/>
    <n v="58870"/>
    <n v="42442"/>
    <n v="47185"/>
    <n v="989"/>
    <n v="1383"/>
    <n v="7144"/>
    <n v="1251"/>
    <m/>
    <n v="8689"/>
    <n v="1613"/>
    <m/>
    <m/>
    <m/>
    <n v="0"/>
    <n v="0"/>
    <m/>
    <m/>
    <m/>
    <m/>
    <m/>
    <m/>
    <m/>
    <m/>
    <m/>
    <m/>
    <m/>
    <m/>
  </r>
  <r>
    <x v="10"/>
    <s v="Redlands Community College"/>
    <m/>
    <n v="207069"/>
    <x v="8"/>
    <n v="43612"/>
    <n v="49593"/>
    <n v="23497"/>
    <n v="27215"/>
    <n v="6012"/>
    <n v="7084"/>
    <n v="12318"/>
    <n v="1785"/>
    <m/>
    <n v="13440"/>
    <n v="1854"/>
    <m/>
    <m/>
    <m/>
    <n v="0"/>
    <n v="0"/>
    <m/>
    <m/>
    <m/>
    <m/>
    <m/>
    <m/>
    <m/>
    <m/>
    <m/>
    <m/>
    <m/>
    <m/>
  </r>
  <r>
    <x v="10"/>
    <s v="Seminole State College "/>
    <m/>
    <n v="207740"/>
    <x v="8"/>
    <n v="49016"/>
    <n v="48732"/>
    <n v="36211"/>
    <n v="34361"/>
    <n v="7231"/>
    <n v="7030"/>
    <n v="5463"/>
    <n v="96"/>
    <n v="15"/>
    <n v="7221"/>
    <n v="120"/>
    <m/>
    <m/>
    <m/>
    <n v="0"/>
    <n v="0"/>
    <m/>
    <m/>
    <m/>
    <m/>
    <m/>
    <m/>
    <m/>
    <m/>
    <m/>
    <m/>
    <m/>
    <m/>
  </r>
  <r>
    <x v="10"/>
    <s v="Western Oklahoma State College "/>
    <m/>
    <n v="208035"/>
    <x v="8"/>
    <n v="47879"/>
    <n v="58587"/>
    <n v="19295"/>
    <n v="21974"/>
    <n v="6706"/>
    <n v="5525"/>
    <n v="19223"/>
    <n v="2199"/>
    <n v="456"/>
    <n v="28667"/>
    <n v="1911"/>
    <n v="510"/>
    <m/>
    <m/>
    <n v="0"/>
    <n v="0"/>
    <m/>
    <m/>
    <m/>
    <m/>
    <m/>
    <m/>
    <m/>
    <m/>
    <m/>
    <m/>
    <m/>
    <m/>
  </r>
  <r>
    <x v="10"/>
    <s v="Canadian Valley Technology Center                 "/>
    <m/>
    <n v="365374"/>
    <x v="9"/>
    <n v="0"/>
    <n v="0"/>
    <m/>
    <m/>
    <m/>
    <m/>
    <m/>
    <m/>
    <m/>
    <m/>
    <m/>
    <m/>
    <m/>
    <m/>
    <n v="0"/>
    <n v="0"/>
    <m/>
    <m/>
    <m/>
    <m/>
    <m/>
    <m/>
    <m/>
    <m/>
    <m/>
    <m/>
    <m/>
    <m/>
  </r>
  <r>
    <x v="10"/>
    <s v="Francis Tuttle Technology Center                  "/>
    <m/>
    <n v="245999"/>
    <x v="9"/>
    <n v="0"/>
    <n v="0"/>
    <m/>
    <m/>
    <m/>
    <m/>
    <m/>
    <m/>
    <m/>
    <m/>
    <m/>
    <m/>
    <m/>
    <m/>
    <n v="0"/>
    <n v="0"/>
    <m/>
    <m/>
    <m/>
    <m/>
    <m/>
    <m/>
    <m/>
    <m/>
    <m/>
    <m/>
    <m/>
    <m/>
  </r>
  <r>
    <x v="10"/>
    <s v="Great Plains Technology Center                    "/>
    <s v="Met criteria for Technical Institute or College 2 in 2009-10 and 2010-11."/>
    <n v="364548"/>
    <x v="9"/>
    <n v="0"/>
    <n v="0"/>
    <m/>
    <m/>
    <m/>
    <m/>
    <m/>
    <m/>
    <m/>
    <m/>
    <m/>
    <m/>
    <m/>
    <m/>
    <n v="0"/>
    <n v="0"/>
    <m/>
    <m/>
    <m/>
    <m/>
    <m/>
    <m/>
    <m/>
    <m/>
    <m/>
    <m/>
    <m/>
    <m/>
  </r>
  <r>
    <x v="10"/>
    <s v="Metro Technology Centers                          "/>
    <m/>
    <n v="363165"/>
    <x v="9"/>
    <n v="0"/>
    <n v="0"/>
    <m/>
    <m/>
    <m/>
    <m/>
    <m/>
    <m/>
    <m/>
    <m/>
    <m/>
    <m/>
    <m/>
    <m/>
    <n v="0"/>
    <n v="0"/>
    <m/>
    <m/>
    <m/>
    <m/>
    <m/>
    <m/>
    <m/>
    <m/>
    <m/>
    <m/>
    <m/>
    <m/>
  </r>
  <r>
    <x v="10"/>
    <s v="Tulsa Technology Center-Broken Arrow Campus       "/>
    <s v="Met criteria for Technical Institute or College 2 in 2009-10 and 2010-11."/>
    <n v="261393"/>
    <x v="9"/>
    <n v="0"/>
    <n v="0"/>
    <m/>
    <m/>
    <m/>
    <m/>
    <m/>
    <m/>
    <m/>
    <m/>
    <m/>
    <m/>
    <m/>
    <m/>
    <n v="0"/>
    <n v="0"/>
    <m/>
    <m/>
    <m/>
    <m/>
    <m/>
    <m/>
    <m/>
    <m/>
    <m/>
    <m/>
    <m/>
    <m/>
  </r>
  <r>
    <x v="10"/>
    <s v="Autry Technology Center                           "/>
    <m/>
    <n v="365213"/>
    <x v="10"/>
    <n v="0"/>
    <n v="0"/>
    <m/>
    <m/>
    <m/>
    <m/>
    <m/>
    <m/>
    <m/>
    <m/>
    <m/>
    <m/>
    <m/>
    <m/>
    <n v="0"/>
    <n v="0"/>
    <m/>
    <m/>
    <m/>
    <m/>
    <m/>
    <m/>
    <m/>
    <m/>
    <m/>
    <m/>
    <m/>
    <m/>
  </r>
  <r>
    <x v="10"/>
    <s v="Caddo Kiowa Technology Center                     "/>
    <m/>
    <n v="364946"/>
    <x v="10"/>
    <n v="0"/>
    <n v="0"/>
    <m/>
    <m/>
    <m/>
    <m/>
    <m/>
    <m/>
    <m/>
    <m/>
    <m/>
    <m/>
    <m/>
    <m/>
    <n v="0"/>
    <n v="0"/>
    <m/>
    <m/>
    <m/>
    <m/>
    <m/>
    <m/>
    <m/>
    <m/>
    <m/>
    <m/>
    <m/>
    <m/>
  </r>
  <r>
    <x v="10"/>
    <s v="Central Technology Center                         "/>
    <m/>
    <n v="246017"/>
    <x v="10"/>
    <n v="0"/>
    <n v="0"/>
    <m/>
    <m/>
    <m/>
    <m/>
    <m/>
    <m/>
    <m/>
    <m/>
    <m/>
    <m/>
    <m/>
    <m/>
    <n v="0"/>
    <n v="0"/>
    <m/>
    <m/>
    <m/>
    <m/>
    <m/>
    <m/>
    <m/>
    <m/>
    <m/>
    <m/>
    <m/>
    <m/>
  </r>
  <r>
    <x v="10"/>
    <s v="Chisholm Trail Technology Center                  "/>
    <m/>
    <n v="375656"/>
    <x v="10"/>
    <n v="0"/>
    <n v="0"/>
    <m/>
    <m/>
    <m/>
    <m/>
    <m/>
    <m/>
    <m/>
    <m/>
    <m/>
    <m/>
    <m/>
    <m/>
    <n v="0"/>
    <n v="0"/>
    <m/>
    <m/>
    <m/>
    <m/>
    <m/>
    <m/>
    <m/>
    <m/>
    <m/>
    <m/>
    <m/>
    <m/>
  </r>
  <r>
    <x v="10"/>
    <s v="Eastern Oklahoma County Technology Center         "/>
    <m/>
    <n v="418348"/>
    <x v="10"/>
    <n v="0"/>
    <n v="0"/>
    <m/>
    <m/>
    <m/>
    <m/>
    <m/>
    <m/>
    <m/>
    <m/>
    <m/>
    <m/>
    <m/>
    <m/>
    <n v="0"/>
    <n v="0"/>
    <m/>
    <m/>
    <m/>
    <m/>
    <m/>
    <m/>
    <m/>
    <m/>
    <m/>
    <m/>
    <m/>
    <m/>
  </r>
  <r>
    <x v="10"/>
    <s v="Gordon Cooper Technology Center                   "/>
    <m/>
    <n v="375683"/>
    <x v="10"/>
    <n v="0"/>
    <n v="0"/>
    <m/>
    <m/>
    <m/>
    <m/>
    <m/>
    <m/>
    <m/>
    <m/>
    <m/>
    <m/>
    <m/>
    <m/>
    <n v="0"/>
    <n v="0"/>
    <m/>
    <m/>
    <m/>
    <m/>
    <m/>
    <m/>
    <m/>
    <m/>
    <m/>
    <m/>
    <m/>
    <m/>
  </r>
  <r>
    <x v="10"/>
    <s v="Green Country Technology Center                   "/>
    <m/>
    <n v="428019"/>
    <x v="10"/>
    <n v="0"/>
    <n v="0"/>
    <m/>
    <m/>
    <m/>
    <m/>
    <m/>
    <m/>
    <m/>
    <m/>
    <m/>
    <m/>
    <m/>
    <m/>
    <n v="0"/>
    <n v="0"/>
    <m/>
    <m/>
    <m/>
    <m/>
    <m/>
    <m/>
    <m/>
    <m/>
    <m/>
    <m/>
    <m/>
    <m/>
  </r>
  <r>
    <x v="10"/>
    <s v="High Plains Technology Center                     "/>
    <m/>
    <n v="208053"/>
    <x v="10"/>
    <n v="0"/>
    <n v="0"/>
    <m/>
    <m/>
    <m/>
    <m/>
    <m/>
    <m/>
    <m/>
    <m/>
    <m/>
    <m/>
    <m/>
    <m/>
    <n v="0"/>
    <n v="0"/>
    <m/>
    <m/>
    <m/>
    <m/>
    <m/>
    <m/>
    <m/>
    <m/>
    <m/>
    <m/>
    <m/>
    <m/>
  </r>
  <r>
    <x v="10"/>
    <s v="Indian Capital Technology Center-Muskogee         "/>
    <m/>
    <n v="418296"/>
    <x v="10"/>
    <n v="0"/>
    <n v="0"/>
    <m/>
    <m/>
    <m/>
    <m/>
    <m/>
    <m/>
    <m/>
    <m/>
    <m/>
    <m/>
    <m/>
    <m/>
    <n v="0"/>
    <n v="0"/>
    <m/>
    <m/>
    <m/>
    <m/>
    <m/>
    <m/>
    <m/>
    <m/>
    <m/>
    <m/>
    <m/>
    <m/>
  </r>
  <r>
    <x v="10"/>
    <s v="Indian Capital Technology Center-Sallisaw         "/>
    <m/>
    <n v="421540"/>
    <x v="10"/>
    <n v="0"/>
    <n v="0"/>
    <m/>
    <m/>
    <m/>
    <m/>
    <m/>
    <m/>
    <m/>
    <m/>
    <m/>
    <m/>
    <m/>
    <m/>
    <n v="0"/>
    <n v="0"/>
    <m/>
    <m/>
    <m/>
    <m/>
    <m/>
    <m/>
    <m/>
    <m/>
    <m/>
    <m/>
    <m/>
    <m/>
  </r>
  <r>
    <x v="10"/>
    <s v="Indian Capital Technology Center-Stilwell         "/>
    <m/>
    <n v="421559"/>
    <x v="10"/>
    <n v="0"/>
    <n v="0"/>
    <m/>
    <m/>
    <m/>
    <m/>
    <m/>
    <m/>
    <m/>
    <m/>
    <m/>
    <m/>
    <m/>
    <m/>
    <n v="0"/>
    <n v="0"/>
    <m/>
    <m/>
    <m/>
    <m/>
    <m/>
    <m/>
    <m/>
    <m/>
    <m/>
    <m/>
    <m/>
    <m/>
  </r>
  <r>
    <x v="10"/>
    <s v="Indian Capital Technology Center-Tahlequah        "/>
    <m/>
    <n v="208026"/>
    <x v="10"/>
    <n v="0"/>
    <n v="0"/>
    <m/>
    <m/>
    <m/>
    <m/>
    <m/>
    <m/>
    <m/>
    <m/>
    <m/>
    <m/>
    <m/>
    <m/>
    <n v="0"/>
    <n v="0"/>
    <m/>
    <m/>
    <m/>
    <m/>
    <m/>
    <m/>
    <m/>
    <m/>
    <m/>
    <m/>
    <m/>
    <m/>
  </r>
  <r>
    <x v="10"/>
    <s v="Kiamichi Technology Center-Atoka                  "/>
    <m/>
    <n v="375692"/>
    <x v="10"/>
    <n v="0"/>
    <n v="0"/>
    <m/>
    <m/>
    <m/>
    <m/>
    <m/>
    <m/>
    <m/>
    <m/>
    <m/>
    <m/>
    <m/>
    <m/>
    <n v="0"/>
    <n v="0"/>
    <m/>
    <m/>
    <m/>
    <m/>
    <m/>
    <m/>
    <m/>
    <m/>
    <m/>
    <m/>
    <m/>
    <m/>
  </r>
  <r>
    <x v="10"/>
    <s v="Kiamichi Technology Center-Durant                 "/>
    <m/>
    <n v="375708"/>
    <x v="10"/>
    <n v="0"/>
    <n v="0"/>
    <m/>
    <m/>
    <m/>
    <m/>
    <m/>
    <m/>
    <m/>
    <m/>
    <m/>
    <m/>
    <m/>
    <m/>
    <n v="0"/>
    <n v="0"/>
    <m/>
    <m/>
    <m/>
    <m/>
    <m/>
    <m/>
    <m/>
    <m/>
    <m/>
    <m/>
    <m/>
    <m/>
  </r>
  <r>
    <x v="10"/>
    <s v="Kiamichi Technology Center-Hugo                   "/>
    <m/>
    <n v="375717"/>
    <x v="10"/>
    <n v="0"/>
    <n v="0"/>
    <m/>
    <m/>
    <m/>
    <m/>
    <m/>
    <m/>
    <m/>
    <m/>
    <m/>
    <m/>
    <m/>
    <m/>
    <n v="0"/>
    <n v="0"/>
    <m/>
    <m/>
    <m/>
    <m/>
    <m/>
    <m/>
    <m/>
    <m/>
    <m/>
    <m/>
    <m/>
    <m/>
  </r>
  <r>
    <x v="10"/>
    <s v="Kiamichi Technology Center-Idabel                 "/>
    <m/>
    <n v="375735"/>
    <x v="10"/>
    <n v="0"/>
    <n v="0"/>
    <m/>
    <m/>
    <m/>
    <m/>
    <m/>
    <m/>
    <m/>
    <m/>
    <m/>
    <m/>
    <m/>
    <m/>
    <n v="0"/>
    <n v="0"/>
    <m/>
    <m/>
    <m/>
    <m/>
    <m/>
    <m/>
    <m/>
    <m/>
    <m/>
    <m/>
    <m/>
    <m/>
  </r>
  <r>
    <x v="10"/>
    <s v="Kiamichi Technology Center-McAlester              "/>
    <m/>
    <n v="375726"/>
    <x v="10"/>
    <n v="0"/>
    <n v="0"/>
    <m/>
    <m/>
    <m/>
    <m/>
    <m/>
    <m/>
    <m/>
    <m/>
    <m/>
    <m/>
    <m/>
    <m/>
    <n v="0"/>
    <n v="0"/>
    <m/>
    <m/>
    <m/>
    <m/>
    <m/>
    <m/>
    <m/>
    <m/>
    <m/>
    <m/>
    <m/>
    <m/>
  </r>
  <r>
    <x v="10"/>
    <s v="Kiamichi Technology Center-Poteau                 "/>
    <m/>
    <n v="375744"/>
    <x v="10"/>
    <n v="0"/>
    <n v="0"/>
    <m/>
    <m/>
    <m/>
    <m/>
    <m/>
    <m/>
    <m/>
    <m/>
    <m/>
    <m/>
    <m/>
    <m/>
    <n v="0"/>
    <n v="0"/>
    <m/>
    <m/>
    <m/>
    <m/>
    <m/>
    <m/>
    <m/>
    <m/>
    <m/>
    <m/>
    <m/>
    <m/>
  </r>
  <r>
    <x v="10"/>
    <s v="Kiamichi Technology Center-Spiro                  "/>
    <m/>
    <n v="375753"/>
    <x v="10"/>
    <n v="0"/>
    <n v="0"/>
    <m/>
    <m/>
    <m/>
    <m/>
    <m/>
    <m/>
    <m/>
    <m/>
    <m/>
    <m/>
    <m/>
    <m/>
    <n v="0"/>
    <n v="0"/>
    <m/>
    <m/>
    <m/>
    <m/>
    <m/>
    <m/>
    <m/>
    <m/>
    <m/>
    <m/>
    <m/>
    <m/>
  </r>
  <r>
    <x v="10"/>
    <s v="Kiamichi Technology Center-Stigler                "/>
    <m/>
    <n v="405748"/>
    <x v="10"/>
    <n v="0"/>
    <n v="0"/>
    <m/>
    <m/>
    <m/>
    <m/>
    <m/>
    <m/>
    <m/>
    <m/>
    <m/>
    <m/>
    <m/>
    <m/>
    <n v="0"/>
    <n v="0"/>
    <m/>
    <m/>
    <m/>
    <m/>
    <m/>
    <m/>
    <m/>
    <m/>
    <m/>
    <m/>
    <m/>
    <m/>
  </r>
  <r>
    <x v="10"/>
    <s v="Kiamichi Technology Center-Talihina               "/>
    <m/>
    <n v="375762"/>
    <x v="10"/>
    <n v="0"/>
    <n v="0"/>
    <m/>
    <m/>
    <m/>
    <m/>
    <m/>
    <m/>
    <m/>
    <m/>
    <m/>
    <m/>
    <m/>
    <m/>
    <n v="0"/>
    <n v="0"/>
    <m/>
    <m/>
    <m/>
    <m/>
    <m/>
    <m/>
    <m/>
    <m/>
    <m/>
    <m/>
    <m/>
    <m/>
  </r>
  <r>
    <x v="10"/>
    <s v="Meridian Technology Center                        "/>
    <m/>
    <n v="365480"/>
    <x v="10"/>
    <n v="0"/>
    <n v="0"/>
    <m/>
    <m/>
    <m/>
    <m/>
    <m/>
    <m/>
    <m/>
    <m/>
    <m/>
    <m/>
    <m/>
    <m/>
    <n v="0"/>
    <n v="0"/>
    <m/>
    <m/>
    <m/>
    <m/>
    <m/>
    <m/>
    <m/>
    <m/>
    <m/>
    <m/>
    <m/>
    <m/>
  </r>
  <r>
    <x v="10"/>
    <s v="Mid-America Technology Center                     "/>
    <m/>
    <n v="418320"/>
    <x v="10"/>
    <n v="0"/>
    <n v="0"/>
    <m/>
    <m/>
    <m/>
    <m/>
    <m/>
    <m/>
    <m/>
    <m/>
    <m/>
    <m/>
    <m/>
    <m/>
    <n v="0"/>
    <n v="0"/>
    <m/>
    <m/>
    <m/>
    <m/>
    <m/>
    <m/>
    <m/>
    <m/>
    <m/>
    <m/>
    <m/>
    <m/>
  </r>
  <r>
    <x v="10"/>
    <s v="Mid-Del Technology Center                         "/>
    <m/>
    <n v="431017"/>
    <x v="10"/>
    <n v="0"/>
    <n v="0"/>
    <m/>
    <m/>
    <m/>
    <m/>
    <m/>
    <m/>
    <m/>
    <m/>
    <m/>
    <m/>
    <m/>
    <m/>
    <n v="0"/>
    <n v="0"/>
    <m/>
    <m/>
    <m/>
    <m/>
    <m/>
    <m/>
    <m/>
    <m/>
    <m/>
    <m/>
    <m/>
    <m/>
  </r>
  <r>
    <x v="10"/>
    <s v="Moore Norman Technology Center                    "/>
    <m/>
    <n v="248606"/>
    <x v="10"/>
    <n v="0"/>
    <n v="0"/>
    <m/>
    <m/>
    <m/>
    <m/>
    <m/>
    <m/>
    <m/>
    <m/>
    <m/>
    <m/>
    <m/>
    <m/>
    <n v="0"/>
    <n v="0"/>
    <m/>
    <m/>
    <m/>
    <m/>
    <m/>
    <m/>
    <m/>
    <m/>
    <m/>
    <m/>
    <m/>
    <m/>
  </r>
  <r>
    <x v="10"/>
    <s v="Northeast Technology Center-Afton                 "/>
    <m/>
    <n v="420459"/>
    <x v="10"/>
    <n v="0"/>
    <n v="0"/>
    <m/>
    <m/>
    <m/>
    <m/>
    <m/>
    <m/>
    <m/>
    <m/>
    <m/>
    <m/>
    <m/>
    <m/>
    <n v="0"/>
    <n v="0"/>
    <m/>
    <m/>
    <m/>
    <m/>
    <m/>
    <m/>
    <m/>
    <m/>
    <m/>
    <m/>
    <m/>
    <m/>
  </r>
  <r>
    <x v="10"/>
    <s v="Northeast Technology Center-Kansas                "/>
    <m/>
    <n v="432074"/>
    <x v="10"/>
    <n v="0"/>
    <n v="0"/>
    <m/>
    <m/>
    <m/>
    <m/>
    <m/>
    <m/>
    <m/>
    <m/>
    <m/>
    <m/>
    <m/>
    <m/>
    <n v="0"/>
    <n v="0"/>
    <m/>
    <m/>
    <m/>
    <m/>
    <m/>
    <m/>
    <m/>
    <m/>
    <m/>
    <m/>
    <m/>
    <m/>
  </r>
  <r>
    <x v="10"/>
    <s v="Northeast Technology Center-Pryor                 "/>
    <m/>
    <n v="418339"/>
    <x v="10"/>
    <n v="0"/>
    <n v="0"/>
    <m/>
    <m/>
    <m/>
    <m/>
    <m/>
    <m/>
    <m/>
    <m/>
    <m/>
    <m/>
    <m/>
    <m/>
    <n v="0"/>
    <n v="0"/>
    <m/>
    <m/>
    <m/>
    <m/>
    <m/>
    <m/>
    <m/>
    <m/>
    <m/>
    <m/>
    <m/>
    <m/>
  </r>
  <r>
    <x v="10"/>
    <s v="Northwest Technology Center-Alva                  "/>
    <m/>
    <n v="366623"/>
    <x v="10"/>
    <n v="0"/>
    <n v="0"/>
    <m/>
    <m/>
    <m/>
    <m/>
    <m/>
    <m/>
    <m/>
    <m/>
    <m/>
    <m/>
    <m/>
    <m/>
    <n v="0"/>
    <n v="0"/>
    <m/>
    <m/>
    <m/>
    <m/>
    <m/>
    <m/>
    <m/>
    <m/>
    <m/>
    <m/>
    <m/>
    <m/>
  </r>
  <r>
    <x v="10"/>
    <s v="Northwest Technology Center-Fairview              "/>
    <m/>
    <n v="407601"/>
    <x v="10"/>
    <n v="0"/>
    <n v="0"/>
    <m/>
    <m/>
    <m/>
    <m/>
    <m/>
    <m/>
    <m/>
    <m/>
    <m/>
    <m/>
    <m/>
    <m/>
    <n v="0"/>
    <n v="0"/>
    <m/>
    <m/>
    <m/>
    <m/>
    <m/>
    <m/>
    <m/>
    <m/>
    <m/>
    <m/>
    <m/>
    <m/>
  </r>
  <r>
    <x v="10"/>
    <s v="Pioneer Technology Center                         "/>
    <m/>
    <n v="364627"/>
    <x v="10"/>
    <n v="0"/>
    <n v="0"/>
    <m/>
    <m/>
    <m/>
    <m/>
    <m/>
    <m/>
    <m/>
    <m/>
    <m/>
    <m/>
    <m/>
    <m/>
    <n v="0"/>
    <n v="0"/>
    <m/>
    <m/>
    <m/>
    <m/>
    <m/>
    <m/>
    <m/>
    <m/>
    <m/>
    <m/>
    <m/>
    <m/>
  </r>
  <r>
    <x v="10"/>
    <s v="Pontotoc Technology Center                        "/>
    <m/>
    <n v="206905"/>
    <x v="10"/>
    <n v="0"/>
    <n v="0"/>
    <m/>
    <m/>
    <m/>
    <m/>
    <m/>
    <m/>
    <m/>
    <m/>
    <m/>
    <m/>
    <m/>
    <m/>
    <n v="0"/>
    <n v="0"/>
    <m/>
    <m/>
    <m/>
    <m/>
    <m/>
    <m/>
    <m/>
    <m/>
    <m/>
    <m/>
    <m/>
    <m/>
  </r>
  <r>
    <x v="10"/>
    <s v="Red River Technology Center                       "/>
    <m/>
    <n v="250993"/>
    <x v="10"/>
    <n v="0"/>
    <n v="0"/>
    <m/>
    <m/>
    <m/>
    <m/>
    <m/>
    <m/>
    <m/>
    <m/>
    <m/>
    <m/>
    <m/>
    <m/>
    <n v="0"/>
    <n v="0"/>
    <m/>
    <m/>
    <m/>
    <m/>
    <m/>
    <m/>
    <m/>
    <m/>
    <m/>
    <m/>
    <m/>
    <m/>
  </r>
  <r>
    <x v="10"/>
    <s v="Southern Oklahoma Technology Center               "/>
    <m/>
    <n v="365198"/>
    <x v="10"/>
    <n v="0"/>
    <n v="0"/>
    <m/>
    <m/>
    <m/>
    <m/>
    <m/>
    <m/>
    <m/>
    <m/>
    <m/>
    <m/>
    <m/>
    <m/>
    <n v="0"/>
    <n v="0"/>
    <m/>
    <m/>
    <m/>
    <m/>
    <m/>
    <m/>
    <m/>
    <m/>
    <m/>
    <m/>
    <m/>
    <m/>
  </r>
  <r>
    <x v="10"/>
    <s v="Southwest Technology Center                       "/>
    <m/>
    <n v="368364"/>
    <x v="10"/>
    <n v="0"/>
    <n v="0"/>
    <m/>
    <m/>
    <m/>
    <m/>
    <m/>
    <m/>
    <m/>
    <m/>
    <m/>
    <m/>
    <m/>
    <m/>
    <n v="0"/>
    <n v="0"/>
    <m/>
    <m/>
    <m/>
    <m/>
    <m/>
    <m/>
    <m/>
    <m/>
    <m/>
    <m/>
    <m/>
    <m/>
  </r>
  <r>
    <x v="10"/>
    <s v="Tri County Technology Center                      "/>
    <m/>
    <n v="418287"/>
    <x v="10"/>
    <n v="0"/>
    <n v="0"/>
    <m/>
    <m/>
    <m/>
    <m/>
    <m/>
    <m/>
    <m/>
    <m/>
    <m/>
    <m/>
    <m/>
    <m/>
    <n v="0"/>
    <n v="0"/>
    <m/>
    <m/>
    <m/>
    <m/>
    <m/>
    <m/>
    <m/>
    <m/>
    <m/>
    <m/>
    <m/>
    <m/>
  </r>
  <r>
    <x v="10"/>
    <s v="Tulsa County Area Voc Tech School Dist 18-Peoria  "/>
    <m/>
    <n v="207607"/>
    <x v="10"/>
    <n v="0"/>
    <n v="0"/>
    <m/>
    <m/>
    <m/>
    <m/>
    <m/>
    <m/>
    <m/>
    <m/>
    <m/>
    <m/>
    <m/>
    <m/>
    <n v="0"/>
    <n v="0"/>
    <m/>
    <m/>
    <m/>
    <m/>
    <m/>
    <m/>
    <m/>
    <m/>
    <m/>
    <m/>
    <m/>
    <m/>
  </r>
  <r>
    <x v="10"/>
    <s v="Tulsa Technology Center-Lemley Campus             "/>
    <m/>
    <n v="261375"/>
    <x v="10"/>
    <n v="0"/>
    <n v="0"/>
    <m/>
    <m/>
    <m/>
    <m/>
    <m/>
    <m/>
    <m/>
    <m/>
    <m/>
    <m/>
    <m/>
    <m/>
    <n v="0"/>
    <n v="0"/>
    <m/>
    <m/>
    <m/>
    <m/>
    <m/>
    <m/>
    <m/>
    <m/>
    <m/>
    <m/>
    <m/>
    <m/>
  </r>
  <r>
    <x v="10"/>
    <s v="Tulsa Technology Center-Riverside Campus          "/>
    <m/>
    <n v="261384"/>
    <x v="10"/>
    <n v="0"/>
    <n v="0"/>
    <m/>
    <m/>
    <m/>
    <m/>
    <m/>
    <m/>
    <m/>
    <m/>
    <m/>
    <m/>
    <m/>
    <m/>
    <n v="0"/>
    <n v="0"/>
    <m/>
    <m/>
    <m/>
    <m/>
    <m/>
    <m/>
    <m/>
    <m/>
    <m/>
    <m/>
    <m/>
    <m/>
  </r>
  <r>
    <x v="10"/>
    <s v="Wes Watkins Technology Center                     "/>
    <m/>
    <n v="418357"/>
    <x v="10"/>
    <n v="0"/>
    <n v="0"/>
    <m/>
    <m/>
    <m/>
    <m/>
    <m/>
    <m/>
    <m/>
    <m/>
    <m/>
    <m/>
    <m/>
    <m/>
    <n v="0"/>
    <n v="0"/>
    <m/>
    <m/>
    <m/>
    <m/>
    <m/>
    <m/>
    <m/>
    <m/>
    <m/>
    <m/>
    <m/>
    <m/>
  </r>
  <r>
    <x v="10"/>
    <s v="Western Technology Center                         "/>
    <m/>
    <n v="418302"/>
    <x v="10"/>
    <n v="0"/>
    <n v="0"/>
    <m/>
    <m/>
    <m/>
    <m/>
    <m/>
    <m/>
    <m/>
    <m/>
    <m/>
    <m/>
    <m/>
    <m/>
    <n v="0"/>
    <n v="0"/>
    <m/>
    <m/>
    <m/>
    <m/>
    <m/>
    <m/>
    <m/>
    <m/>
    <m/>
    <m/>
    <m/>
    <m/>
  </r>
  <r>
    <x v="10"/>
    <s v="Northeast Technology Center-Claremore"/>
    <s v="New institution in start up phase. (Met the criteria for Technical Institute 2 but they'd like it in &quot;start up&quot; for one more year.)"/>
    <n v="456560"/>
    <x v="12"/>
    <n v="0"/>
    <n v="0"/>
    <m/>
    <m/>
    <m/>
    <m/>
    <m/>
    <m/>
    <m/>
    <m/>
    <m/>
    <m/>
    <m/>
    <m/>
    <n v="0"/>
    <n v="0"/>
    <m/>
    <m/>
    <m/>
    <m/>
    <m/>
    <m/>
    <m/>
    <m/>
    <m/>
    <m/>
    <m/>
    <m/>
  </r>
  <r>
    <x v="11"/>
    <s v="Clemson University"/>
    <m/>
    <n v="217882"/>
    <x v="0"/>
    <n v="456359"/>
    <n v="467392"/>
    <n v="426379"/>
    <n v="434260"/>
    <n v="3564"/>
    <n v="5322"/>
    <n v="26416"/>
    <m/>
    <m/>
    <n v="27810"/>
    <m/>
    <m/>
    <m/>
    <m/>
    <n v="67757"/>
    <n v="73789"/>
    <n v="53863"/>
    <n v="57420"/>
    <n v="10060"/>
    <n v="11411"/>
    <n v="3834"/>
    <m/>
    <m/>
    <n v="4958"/>
    <m/>
    <m/>
    <m/>
    <m/>
  </r>
  <r>
    <x v="11"/>
    <s v="University of South Carolina-Columbia"/>
    <m/>
    <n v="218663"/>
    <x v="0"/>
    <n v="602301"/>
    <n v="628870"/>
    <n v="578438"/>
    <n v="596746"/>
    <n v="14337"/>
    <n v="17350"/>
    <n v="3712"/>
    <n v="2398"/>
    <n v="3416"/>
    <n v="10183"/>
    <n v="3506"/>
    <n v="1085"/>
    <m/>
    <m/>
    <n v="111336"/>
    <n v="116559"/>
    <n v="71097"/>
    <n v="74601"/>
    <n v="9844"/>
    <n v="9276"/>
    <n v="22864"/>
    <m/>
    <n v="7531"/>
    <n v="29956"/>
    <n v="474"/>
    <n v="2252"/>
    <m/>
    <m/>
  </r>
  <r>
    <x v="11"/>
    <s v="College of Charleston"/>
    <m/>
    <n v="217819"/>
    <x v="2"/>
    <n v="289361"/>
    <n v="294793"/>
    <n v="289274"/>
    <n v="294499"/>
    <n v="87"/>
    <n v="294"/>
    <m/>
    <m/>
    <m/>
    <m/>
    <m/>
    <m/>
    <m/>
    <m/>
    <n v="18619"/>
    <n v="18228"/>
    <n v="12285"/>
    <n v="13057"/>
    <n v="6241"/>
    <n v="4911"/>
    <n v="93"/>
    <m/>
    <m/>
    <n v="122"/>
    <m/>
    <n v="138"/>
    <m/>
    <m/>
  </r>
  <r>
    <x v="11"/>
    <s v="Winthrop University "/>
    <m/>
    <n v="218964"/>
    <x v="2"/>
    <n v="143947"/>
    <n v="143586.5"/>
    <n v="142404"/>
    <n v="142629.5"/>
    <n v="1543"/>
    <n v="645"/>
    <m/>
    <m/>
    <m/>
    <n v="312"/>
    <m/>
    <m/>
    <m/>
    <m/>
    <n v="17814"/>
    <n v="18159"/>
    <n v="15192"/>
    <n v="15896"/>
    <n v="2622"/>
    <n v="2032"/>
    <m/>
    <m/>
    <m/>
    <n v="231"/>
    <m/>
    <m/>
    <m/>
    <m/>
  </r>
  <r>
    <x v="11"/>
    <s v="The Citadel, the Military College of South Carolina "/>
    <m/>
    <n v="217864"/>
    <x v="3"/>
    <n v="83574"/>
    <n v="85876"/>
    <n v="83277"/>
    <n v="85420"/>
    <n v="189"/>
    <n v="237"/>
    <n v="108"/>
    <m/>
    <m/>
    <n v="219"/>
    <m/>
    <m/>
    <m/>
    <m/>
    <n v="15590"/>
    <n v="15502"/>
    <n v="14030"/>
    <n v="14686"/>
    <n v="981"/>
    <n v="579"/>
    <n v="579"/>
    <m/>
    <m/>
    <n v="237"/>
    <m/>
    <m/>
    <m/>
    <m/>
  </r>
  <r>
    <x v="11"/>
    <s v="Coastal Carolina University"/>
    <m/>
    <n v="218724"/>
    <x v="4"/>
    <n v="222498"/>
    <n v="236506"/>
    <n v="213939"/>
    <n v="225585"/>
    <n v="1309"/>
    <n v="2531"/>
    <n v="7250"/>
    <m/>
    <m/>
    <n v="8390"/>
    <m/>
    <m/>
    <m/>
    <m/>
    <n v="7506"/>
    <n v="9490"/>
    <n v="4149"/>
    <n v="4434"/>
    <n v="1146"/>
    <n v="2725"/>
    <n v="2211"/>
    <m/>
    <m/>
    <n v="2331"/>
    <m/>
    <m/>
    <m/>
    <m/>
  </r>
  <r>
    <x v="11"/>
    <s v="Francis Marion University "/>
    <m/>
    <n v="218061"/>
    <x v="4"/>
    <n v="98637"/>
    <n v="103303"/>
    <n v="98585"/>
    <n v="103157"/>
    <n v="52"/>
    <n v="140"/>
    <m/>
    <m/>
    <m/>
    <n v="6"/>
    <m/>
    <m/>
    <m/>
    <m/>
    <n v="4366"/>
    <n v="4469"/>
    <n v="2257"/>
    <n v="2897"/>
    <n v="2109"/>
    <n v="1563"/>
    <m/>
    <m/>
    <m/>
    <n v="9"/>
    <m/>
    <m/>
    <m/>
    <m/>
  </r>
  <r>
    <x v="11"/>
    <s v="South Carolina State University "/>
    <m/>
    <n v="218733"/>
    <x v="4"/>
    <n v="118626"/>
    <n v="115174"/>
    <n v="116127"/>
    <n v="113401.53"/>
    <n v="281"/>
    <n v="0"/>
    <n v="2218"/>
    <m/>
    <m/>
    <n v="1483.47"/>
    <m/>
    <n v="289"/>
    <m/>
    <m/>
    <n v="11693"/>
    <n v="11075"/>
    <n v="8878"/>
    <n v="10358"/>
    <n v="79"/>
    <m/>
    <n v="2736"/>
    <m/>
    <m/>
    <n v="717"/>
    <m/>
    <m/>
    <m/>
    <m/>
  </r>
  <r>
    <x v="11"/>
    <s v="Lander University"/>
    <s v="Met the criteria for Four-Year 5 in 2010-11."/>
    <n v="218229"/>
    <x v="5"/>
    <n v="76101"/>
    <n v="82796.5"/>
    <n v="71575"/>
    <n v="77111.5"/>
    <n v="453"/>
    <n v="310"/>
    <n v="3647"/>
    <n v="426"/>
    <m/>
    <n v="5224"/>
    <n v="151"/>
    <m/>
    <m/>
    <m/>
    <n v="1434"/>
    <n v="1854"/>
    <n v="741"/>
    <n v="1077"/>
    <n v="321"/>
    <n v="306"/>
    <n v="372"/>
    <m/>
    <m/>
    <n v="471"/>
    <m/>
    <m/>
    <m/>
    <m/>
  </r>
  <r>
    <x v="11"/>
    <s v="University of South Carolina-Aiken"/>
    <m/>
    <n v="218645"/>
    <x v="5"/>
    <n v="82339"/>
    <n v="84564"/>
    <n v="76957"/>
    <n v="77348"/>
    <n v="3405"/>
    <n v="3831"/>
    <n v="1977"/>
    <m/>
    <m/>
    <n v="3385"/>
    <m/>
    <m/>
    <m/>
    <m/>
    <n v="996"/>
    <n v="1192"/>
    <n v="616"/>
    <n v="565"/>
    <n v="122"/>
    <n v="198"/>
    <n v="213"/>
    <m/>
    <n v="45"/>
    <n v="429"/>
    <m/>
    <m/>
    <m/>
    <m/>
  </r>
  <r>
    <x v="11"/>
    <s v="University of South Carolina-Beaufort"/>
    <s v="Austin Peay State University "/>
    <s v="Reclassified: met the criteria for Four-Year 3 in 2008-09, 2009-10 and 2010-11."/>
    <x v="5"/>
    <n v="41461"/>
    <n v="45714"/>
    <n v="36548"/>
    <n v="39739"/>
    <n v="4913"/>
    <n v="5975"/>
    <m/>
    <m/>
    <m/>
    <m/>
    <m/>
    <m/>
    <m/>
    <m/>
    <n v="0"/>
    <n v="0"/>
    <m/>
    <m/>
    <m/>
    <m/>
    <m/>
    <m/>
    <m/>
    <m/>
    <m/>
    <m/>
    <m/>
    <m/>
  </r>
  <r>
    <x v="11"/>
    <s v="University of South Carolina-Upstate"/>
    <m/>
    <n v="218742"/>
    <x v="5"/>
    <n v="142601"/>
    <n v="148590"/>
    <n v="120732"/>
    <n v="123088"/>
    <n v="12214"/>
    <n v="12990"/>
    <n v="9352"/>
    <m/>
    <n v="303"/>
    <n v="12344"/>
    <m/>
    <n v="168"/>
    <m/>
    <m/>
    <n v="1345"/>
    <n v="1351"/>
    <n v="781"/>
    <n v="481"/>
    <n v="231"/>
    <n v="312"/>
    <n v="333"/>
    <m/>
    <m/>
    <n v="495"/>
    <n v="9"/>
    <n v="54"/>
    <m/>
    <m/>
  </r>
  <r>
    <x v="11"/>
    <s v="Greenville Technical College "/>
    <m/>
    <n v="218113"/>
    <x v="6"/>
    <n v="347720"/>
    <n v="344968"/>
    <n v="258811"/>
    <n v="243786"/>
    <n v="17205"/>
    <n v="17540"/>
    <n v="68776"/>
    <n v="2322"/>
    <n v="606"/>
    <n v="82412"/>
    <n v="660"/>
    <n v="570"/>
    <m/>
    <m/>
    <n v="0"/>
    <n v="0"/>
    <m/>
    <m/>
    <m/>
    <m/>
    <m/>
    <m/>
    <m/>
    <m/>
    <m/>
    <m/>
    <m/>
    <m/>
  </r>
  <r>
    <x v="11"/>
    <s v="Midlands Technical College "/>
    <m/>
    <n v="218353"/>
    <x v="6"/>
    <n v="288919"/>
    <n v="281859"/>
    <n v="233966"/>
    <n v="215337"/>
    <n v="17150"/>
    <n v="16951"/>
    <n v="37803"/>
    <m/>
    <m/>
    <n v="49571"/>
    <m/>
    <m/>
    <m/>
    <m/>
    <n v="0"/>
    <n v="0"/>
    <m/>
    <m/>
    <m/>
    <m/>
    <m/>
    <m/>
    <m/>
    <m/>
    <m/>
    <m/>
    <m/>
    <m/>
  </r>
  <r>
    <x v="11"/>
    <s v="Trident Technical College "/>
    <m/>
    <n v="218894"/>
    <x v="6"/>
    <n v="335352"/>
    <n v="357179"/>
    <n v="258781"/>
    <n v="264813"/>
    <n v="9090"/>
    <n v="11457"/>
    <n v="66641"/>
    <n v="201"/>
    <n v="639"/>
    <n v="80909"/>
    <m/>
    <m/>
    <m/>
    <m/>
    <n v="0"/>
    <n v="0"/>
    <m/>
    <m/>
    <m/>
    <m/>
    <m/>
    <m/>
    <m/>
    <m/>
    <m/>
    <m/>
    <m/>
    <m/>
  </r>
  <r>
    <x v="11"/>
    <s v="Aiken Technical College "/>
    <m/>
    <n v="217615"/>
    <x v="7"/>
    <n v="78175"/>
    <n v="75200"/>
    <n v="63116"/>
    <n v="58693"/>
    <n v="4351"/>
    <n v="4571"/>
    <n v="10702"/>
    <m/>
    <n v="6"/>
    <n v="11936"/>
    <m/>
    <m/>
    <m/>
    <m/>
    <n v="0"/>
    <n v="0"/>
    <m/>
    <m/>
    <m/>
    <m/>
    <m/>
    <m/>
    <m/>
    <m/>
    <m/>
    <m/>
    <m/>
    <m/>
  </r>
  <r>
    <x v="11"/>
    <s v="Central Carolina Technical College "/>
    <m/>
    <n v="218858"/>
    <x v="7"/>
    <n v="82212"/>
    <n v="93068"/>
    <n v="58541"/>
    <n v="68067"/>
    <n v="10162"/>
    <n v="9497"/>
    <n v="12862"/>
    <n v="647"/>
    <m/>
    <n v="15504"/>
    <m/>
    <m/>
    <m/>
    <m/>
    <n v="0"/>
    <n v="0"/>
    <m/>
    <m/>
    <m/>
    <m/>
    <m/>
    <m/>
    <m/>
    <m/>
    <m/>
    <m/>
    <m/>
    <m/>
  </r>
  <r>
    <x v="11"/>
    <s v="Florence-Darlington Technical College "/>
    <s v="Met the criteria for Two-year 1 in 2010-11."/>
    <n v="218025"/>
    <x v="7"/>
    <n v="129223"/>
    <n v="141993"/>
    <n v="95334"/>
    <n v="98830"/>
    <n v="10322"/>
    <n v="10162"/>
    <n v="17678"/>
    <n v="5889"/>
    <m/>
    <n v="26610"/>
    <n v="6391"/>
    <m/>
    <m/>
    <m/>
    <n v="0"/>
    <n v="0"/>
    <m/>
    <m/>
    <m/>
    <m/>
    <m/>
    <m/>
    <m/>
    <m/>
    <m/>
    <m/>
    <m/>
    <m/>
  </r>
  <r>
    <x v="11"/>
    <s v="Horry-Georgetown Technical College "/>
    <s v="Met the criteria for Two-year 1 in 2009-10 and 2010-11."/>
    <n v="218140"/>
    <x v="7"/>
    <n v="157982"/>
    <n v="173200"/>
    <n v="134049"/>
    <n v="144519"/>
    <n v="6399"/>
    <n v="6896"/>
    <n v="17534"/>
    <m/>
    <m/>
    <n v="21785"/>
    <m/>
    <m/>
    <m/>
    <m/>
    <n v="0"/>
    <n v="0"/>
    <m/>
    <m/>
    <m/>
    <m/>
    <m/>
    <m/>
    <m/>
    <m/>
    <m/>
    <m/>
    <m/>
    <m/>
  </r>
  <r>
    <x v="11"/>
    <s v="Orangeburg-Calhoun Technical College "/>
    <m/>
    <n v="218487"/>
    <x v="7"/>
    <n v="72640"/>
    <n v="72998"/>
    <n v="55839"/>
    <n v="55716"/>
    <n v="9396"/>
    <n v="8717"/>
    <n v="7405"/>
    <m/>
    <m/>
    <n v="8565"/>
    <m/>
    <m/>
    <m/>
    <m/>
    <n v="0"/>
    <n v="0"/>
    <m/>
    <m/>
    <m/>
    <m/>
    <m/>
    <m/>
    <m/>
    <m/>
    <m/>
    <m/>
    <m/>
    <m/>
  </r>
  <r>
    <x v="11"/>
    <s v="Piedmont Technical College "/>
    <s v="Met the criteria for Two-year 1 in 2010-11."/>
    <n v="218520"/>
    <x v="7"/>
    <n v="137652"/>
    <n v="138959"/>
    <n v="76044"/>
    <n v="71712"/>
    <n v="17229"/>
    <n v="15257"/>
    <n v="28964"/>
    <n v="15415"/>
    <m/>
    <n v="36827"/>
    <n v="15163"/>
    <m/>
    <m/>
    <m/>
    <n v="0"/>
    <n v="0"/>
    <m/>
    <m/>
    <m/>
    <m/>
    <m/>
    <m/>
    <m/>
    <m/>
    <m/>
    <m/>
    <m/>
    <m/>
  </r>
  <r>
    <x v="11"/>
    <s v="Spartanburg Community College "/>
    <s v="Met the criteria for Two-year 1 in 2010-11."/>
    <n v="218830"/>
    <x v="7"/>
    <n v="131893"/>
    <n v="140025"/>
    <n v="111530"/>
    <n v="114546"/>
    <n v="5054"/>
    <n v="5936"/>
    <n v="15267"/>
    <n v="42"/>
    <m/>
    <n v="19534"/>
    <n v="9"/>
    <m/>
    <m/>
    <m/>
    <n v="0"/>
    <n v="0"/>
    <m/>
    <m/>
    <m/>
    <m/>
    <m/>
    <m/>
    <m/>
    <m/>
    <m/>
    <m/>
    <m/>
    <m/>
  </r>
  <r>
    <x v="11"/>
    <s v="Tri-County Technical College "/>
    <s v="Met the criteria for Two-year 1 in 2009-10 and 2010-11."/>
    <n v="218885"/>
    <x v="7"/>
    <n v="161982"/>
    <n v="171851"/>
    <n v="133502"/>
    <n v="134614"/>
    <n v="5404"/>
    <n v="4608"/>
    <n v="23076"/>
    <m/>
    <m/>
    <n v="32629"/>
    <m/>
    <m/>
    <m/>
    <m/>
    <n v="0"/>
    <n v="0"/>
    <m/>
    <m/>
    <m/>
    <m/>
    <m/>
    <m/>
    <m/>
    <m/>
    <m/>
    <m/>
    <m/>
    <m/>
  </r>
  <r>
    <x v="11"/>
    <s v="York Technical College "/>
    <s v="Met the criteria for Two-year 1 in 2010-11."/>
    <n v="218991"/>
    <x v="7"/>
    <n v="138752"/>
    <n v="140960"/>
    <n v="92734"/>
    <n v="89627"/>
    <n v="9427"/>
    <n v="10099"/>
    <n v="26852"/>
    <n v="8998"/>
    <n v="741"/>
    <n v="32197"/>
    <n v="8657"/>
    <n v="380"/>
    <m/>
    <m/>
    <n v="0"/>
    <n v="0"/>
    <m/>
    <m/>
    <m/>
    <m/>
    <m/>
    <m/>
    <m/>
    <m/>
    <m/>
    <m/>
    <m/>
    <m/>
  </r>
  <r>
    <x v="11"/>
    <s v="Denmark Technical College "/>
    <m/>
    <n v="217989"/>
    <x v="8"/>
    <n v="38483"/>
    <n v="32782"/>
    <n v="30794"/>
    <n v="26294"/>
    <n v="1085"/>
    <n v="186"/>
    <n v="6604"/>
    <m/>
    <m/>
    <n v="6302"/>
    <m/>
    <m/>
    <m/>
    <m/>
    <n v="0"/>
    <n v="0"/>
    <m/>
    <m/>
    <m/>
    <m/>
    <m/>
    <m/>
    <m/>
    <m/>
    <m/>
    <m/>
    <m/>
    <m/>
  </r>
  <r>
    <x v="11"/>
    <s v="Northeastern Technical College "/>
    <m/>
    <n v="217837"/>
    <x v="8"/>
    <n v="27390"/>
    <n v="29287"/>
    <n v="21657"/>
    <n v="21072"/>
    <n v="337"/>
    <n v="672"/>
    <n v="2051"/>
    <n v="3345"/>
    <m/>
    <n v="3705"/>
    <n v="3838"/>
    <m/>
    <m/>
    <m/>
    <n v="0"/>
    <n v="0"/>
    <m/>
    <m/>
    <m/>
    <m/>
    <m/>
    <m/>
    <m/>
    <m/>
    <m/>
    <m/>
    <m/>
    <m/>
  </r>
  <r>
    <x v="11"/>
    <s v="Technical College of the Lowcountry"/>
    <m/>
    <n v="217712"/>
    <x v="8"/>
    <n v="55053"/>
    <n v="60944"/>
    <n v="41399"/>
    <n v="44542"/>
    <n v="550"/>
    <n v="346"/>
    <n v="9662"/>
    <n v="1405"/>
    <n v="2037"/>
    <n v="12243"/>
    <n v="3813"/>
    <m/>
    <m/>
    <m/>
    <n v="0"/>
    <n v="0"/>
    <m/>
    <m/>
    <m/>
    <m/>
    <m/>
    <m/>
    <m/>
    <m/>
    <m/>
    <m/>
    <m/>
    <m/>
  </r>
  <r>
    <x v="11"/>
    <s v="University of South Carolina-Lancaster"/>
    <m/>
    <n v="218672"/>
    <x v="8"/>
    <n v="31947"/>
    <n v="34947"/>
    <n v="31585"/>
    <n v="34646"/>
    <n v="362"/>
    <n v="301"/>
    <m/>
    <m/>
    <m/>
    <n v="0"/>
    <m/>
    <m/>
    <m/>
    <m/>
    <n v="0"/>
    <n v="0"/>
    <m/>
    <m/>
    <m/>
    <m/>
    <m/>
    <m/>
    <m/>
    <m/>
    <m/>
    <m/>
    <m/>
    <m/>
  </r>
  <r>
    <x v="11"/>
    <s v="University of South Carolina-Salkehatchie"/>
    <m/>
    <n v="218681"/>
    <x v="8"/>
    <n v="18664"/>
    <n v="21981"/>
    <n v="18664"/>
    <n v="21981"/>
    <m/>
    <n v="0"/>
    <m/>
    <m/>
    <m/>
    <n v="0"/>
    <m/>
    <m/>
    <m/>
    <m/>
    <n v="0"/>
    <n v="0"/>
    <m/>
    <m/>
    <m/>
    <m/>
    <m/>
    <m/>
    <m/>
    <m/>
    <m/>
    <m/>
    <m/>
    <m/>
  </r>
  <r>
    <x v="11"/>
    <s v="University of South Carolina-Sumter"/>
    <m/>
    <n v="218690"/>
    <x v="8"/>
    <n v="26074"/>
    <n v="26375"/>
    <n v="22539"/>
    <n v="22605"/>
    <n v="3535"/>
    <n v="3500"/>
    <m/>
    <m/>
    <m/>
    <n v="270"/>
    <m/>
    <m/>
    <m/>
    <m/>
    <n v="0"/>
    <n v="0"/>
    <m/>
    <m/>
    <m/>
    <m/>
    <m/>
    <m/>
    <m/>
    <m/>
    <m/>
    <m/>
    <m/>
    <m/>
  </r>
  <r>
    <x v="11"/>
    <s v="University of South Carolina-Union"/>
    <m/>
    <n v="218706"/>
    <x v="8"/>
    <n v="9376"/>
    <n v="10674"/>
    <n v="7870"/>
    <n v="9332"/>
    <n v="1506"/>
    <n v="1342"/>
    <m/>
    <m/>
    <m/>
    <n v="0"/>
    <m/>
    <m/>
    <m/>
    <m/>
    <n v="0"/>
    <n v="0"/>
    <m/>
    <m/>
    <m/>
    <m/>
    <m/>
    <m/>
    <m/>
    <m/>
    <m/>
    <m/>
    <m/>
    <m/>
  </r>
  <r>
    <x v="11"/>
    <s v="Willamsburg Technical College "/>
    <m/>
    <n v="218955"/>
    <x v="8"/>
    <n v="16855"/>
    <n v="18866"/>
    <n v="16224"/>
    <n v="18524"/>
    <n v="354"/>
    <n v="220"/>
    <n v="277"/>
    <m/>
    <m/>
    <n v="122"/>
    <m/>
    <m/>
    <m/>
    <m/>
    <n v="0"/>
    <n v="0"/>
    <m/>
    <m/>
    <m/>
    <m/>
    <m/>
    <m/>
    <m/>
    <m/>
    <m/>
    <m/>
    <m/>
    <m/>
  </r>
  <r>
    <x v="12"/>
    <s v="University of Memphis"/>
    <m/>
    <n v="220862"/>
    <x v="0"/>
    <n v="415795"/>
    <n v="422576"/>
    <n v="357670"/>
    <n v="351866"/>
    <n v="9510"/>
    <n v="7800"/>
    <n v="33853"/>
    <n v="795"/>
    <n v="10879"/>
    <n v="42851"/>
    <n v="368"/>
    <n v="16665"/>
    <n v="3088"/>
    <n v="3026"/>
    <n v="81557"/>
    <n v="83230"/>
    <n v="53213"/>
    <n v="55321"/>
    <n v="9593"/>
    <n v="10152"/>
    <n v="9501"/>
    <n v="150"/>
    <n v="3248"/>
    <n v="10405"/>
    <n v="51"/>
    <n v="1662"/>
    <n v="5852"/>
    <n v="5639"/>
  </r>
  <r>
    <x v="12"/>
    <s v="University of Tennessee, Knoxville"/>
    <m/>
    <n v="221759"/>
    <x v="0"/>
    <n v="614720"/>
    <n v="567964"/>
    <n v="526893"/>
    <n v="487661"/>
    <n v="300"/>
    <n v="969"/>
    <n v="637"/>
    <n v="892"/>
    <n v="85998"/>
    <n v="72"/>
    <n v="792"/>
    <n v="78219"/>
    <n v="0"/>
    <n v="251"/>
    <n v="121122"/>
    <n v="129472"/>
    <n v="100617"/>
    <n v="109147"/>
    <n v="1490"/>
    <n v="1267"/>
    <n v="8954"/>
    <n v="72"/>
    <n v="9629"/>
    <n v="6803"/>
    <n v="75"/>
    <n v="11855"/>
    <n v="360"/>
    <n v="325"/>
  </r>
  <r>
    <x v="12"/>
    <s v="East Tennessee State University "/>
    <m/>
    <n v="220075"/>
    <x v="2"/>
    <n v="309598"/>
    <n v="315496"/>
    <n v="237409"/>
    <n v="239142"/>
    <n v="12553"/>
    <n v="9334"/>
    <n v="33437"/>
    <n v="9733"/>
    <n v="14475"/>
    <n v="40456"/>
    <n v="9831"/>
    <n v="14290"/>
    <n v="1991"/>
    <n v="2443"/>
    <n v="42807"/>
    <n v="41178"/>
    <n v="22533"/>
    <n v="24434"/>
    <n v="4913"/>
    <n v="5183"/>
    <n v="10123"/>
    <n v="359"/>
    <n v="1937"/>
    <n v="8135"/>
    <n v="102"/>
    <n v="1622"/>
    <n v="2942"/>
    <n v="1702"/>
  </r>
  <r>
    <x v="12"/>
    <s v="Middle Tennessee State University "/>
    <m/>
    <n v="220978"/>
    <x v="2"/>
    <n v="592584"/>
    <n v="618769"/>
    <n v="516575"/>
    <n v="530431"/>
    <n v="10076"/>
    <n v="10051"/>
    <n v="35805"/>
    <n v="2790"/>
    <n v="23077"/>
    <n v="48763"/>
    <n v="2748"/>
    <n v="22415"/>
    <n v="4261"/>
    <n v="4361"/>
    <n v="45506"/>
    <n v="41595"/>
    <n v="31523"/>
    <n v="28178"/>
    <n v="2459"/>
    <n v="2342"/>
    <n v="7098"/>
    <n v="366"/>
    <n v="1025"/>
    <n v="5425"/>
    <n v="379"/>
    <n v="2190"/>
    <n v="3035"/>
    <n v="3081"/>
  </r>
  <r>
    <x v="12"/>
    <s v="Tennessee State University "/>
    <s v="Met the criteria for Four-Year 2 in 2009-10 and 2010-11."/>
    <n v="221838"/>
    <x v="2"/>
    <n v="177784"/>
    <n v="182408"/>
    <n v="163180"/>
    <n v="154263"/>
    <n v="2625"/>
    <n v="14260"/>
    <n v="10549"/>
    <n v="318"/>
    <n v="700"/>
    <n v="12537"/>
    <n v="171"/>
    <n v="671"/>
    <n v="412"/>
    <n v="506"/>
    <n v="32979"/>
    <n v="32856"/>
    <n v="24981"/>
    <n v="26392"/>
    <n v="1682"/>
    <n v="1487"/>
    <n v="3256"/>
    <n v="0"/>
    <n v="141"/>
    <n v="1835"/>
    <n v="0"/>
    <n v="140"/>
    <n v="2919"/>
    <n v="3002"/>
  </r>
  <r>
    <x v="12"/>
    <s v="Tennessee Technological University "/>
    <m/>
    <n v="221847"/>
    <x v="2"/>
    <n v="235979"/>
    <n v="260418"/>
    <n v="205463"/>
    <n v="219607"/>
    <n v="5804"/>
    <n v="14260"/>
    <n v="13663"/>
    <m/>
    <n v="8403"/>
    <n v="15262"/>
    <m/>
    <n v="8189"/>
    <n v="2646"/>
    <n v="3100"/>
    <n v="29118"/>
    <n v="30181"/>
    <n v="12260"/>
    <n v="18854"/>
    <n v="1629"/>
    <n v="2014"/>
    <n v="10746"/>
    <n v="0"/>
    <n v="1516"/>
    <n v="5845"/>
    <n v="42"/>
    <n v="467"/>
    <n v="2967"/>
    <n v="2959"/>
  </r>
  <r>
    <x v="12"/>
    <s v="University of Tennessee at Chattanooga"/>
    <m/>
    <n v="221740"/>
    <x v="2"/>
    <n v="240192"/>
    <n v="241728"/>
    <n v="229957"/>
    <n v="234753"/>
    <n v="4310"/>
    <n v="1096"/>
    <n v="4405"/>
    <n v="0"/>
    <n v="105"/>
    <n v="4710"/>
    <n v="0"/>
    <n v="0"/>
    <n v="1415"/>
    <n v="1169"/>
    <n v="26863"/>
    <n v="25246"/>
    <n v="19384"/>
    <n v="19214"/>
    <n v="2399"/>
    <n v="2173"/>
    <n v="2855"/>
    <n v="304"/>
    <n v="2"/>
    <n v="2317"/>
    <n v="318"/>
    <n v="0"/>
    <n v="1919"/>
    <n v="1224"/>
  </r>
  <r>
    <x v="12"/>
    <s v="Austin Peay State University "/>
    <s v="Reclassified: met the criteria for Four-Year 3 in 2008-09, 2009-10 and 2010-11."/>
    <n v="219602"/>
    <x v="2"/>
    <n v="222816"/>
    <n v="231958"/>
    <n v="162477"/>
    <n v="154611"/>
    <n v="1412"/>
    <n v="15145"/>
    <n v="55784"/>
    <n v="0"/>
    <n v="2263"/>
    <n v="59191"/>
    <n v="0"/>
    <n v="2411"/>
    <n v="880"/>
    <n v="600"/>
    <n v="13533"/>
    <n v="13956"/>
    <n v="5492"/>
    <n v="6356"/>
    <n v="532"/>
    <n v="496"/>
    <n v="7189"/>
    <n v="0"/>
    <n v="1"/>
    <n v="6932"/>
    <n v="0"/>
    <n v="55"/>
    <n v="319"/>
    <n v="117"/>
  </r>
  <r>
    <x v="12"/>
    <s v="University of Tennessee at Martin"/>
    <m/>
    <n v="221768"/>
    <x v="4"/>
    <n v="193747"/>
    <n v="189533"/>
    <n v="181964"/>
    <n v="176444"/>
    <n v="2111"/>
    <n v="1324"/>
    <n v="7473"/>
    <n v="1989"/>
    <n v="21"/>
    <n v="8351"/>
    <n v="3191"/>
    <n v="51"/>
    <n v="189"/>
    <n v="172"/>
    <n v="7808"/>
    <n v="6675"/>
    <n v="2527"/>
    <n v="2726"/>
    <n v="61"/>
    <n v="53"/>
    <n v="5093"/>
    <n v="111"/>
    <n v="0"/>
    <n v="3337"/>
    <n v="559"/>
    <n v="0"/>
    <n v="16"/>
    <n v="0"/>
  </r>
  <r>
    <x v="12"/>
    <s v="Chattanooga State Technical Community College "/>
    <m/>
    <n v="219824"/>
    <x v="6"/>
    <n v="182926"/>
    <n v="206006"/>
    <n v="134909"/>
    <n v="126190"/>
    <n v="1697"/>
    <n v="9093"/>
    <n v="32283"/>
    <n v="0"/>
    <n v="13773"/>
    <n v="40317"/>
    <n v="0"/>
    <n v="30134"/>
    <n v="264"/>
    <n v="272"/>
    <n v="0"/>
    <n v="0"/>
    <m/>
    <m/>
    <m/>
    <m/>
    <m/>
    <m/>
    <m/>
    <m/>
    <m/>
    <m/>
    <m/>
    <m/>
  </r>
  <r>
    <x v="12"/>
    <s v="Pellissippi State Technical Community College"/>
    <m/>
    <n v="221643"/>
    <x v="6"/>
    <n v="202757"/>
    <n v="226193"/>
    <n v="170920"/>
    <n v="164209"/>
    <n v="652"/>
    <n v="28803"/>
    <n v="25712"/>
    <n v="1055"/>
    <n v="4145"/>
    <n v="27318"/>
    <n v="1367"/>
    <n v="4323"/>
    <n v="273"/>
    <n v="173"/>
    <n v="0"/>
    <n v="0"/>
    <m/>
    <m/>
    <m/>
    <m/>
    <m/>
    <m/>
    <m/>
    <m/>
    <m/>
    <m/>
    <m/>
    <m/>
  </r>
  <r>
    <x v="12"/>
    <s v="Southwest Tennessee Community College"/>
    <m/>
    <n v="221485"/>
    <x v="6"/>
    <n v="267602"/>
    <n v="285351"/>
    <n v="226729"/>
    <n v="240506"/>
    <n v="3754"/>
    <n v="1090"/>
    <n v="22478"/>
    <n v="4020"/>
    <n v="10528"/>
    <n v="27381"/>
    <n v="3855"/>
    <n v="12415"/>
    <n v="93"/>
    <n v="104"/>
    <n v="0"/>
    <n v="0"/>
    <m/>
    <m/>
    <m/>
    <m/>
    <m/>
    <m/>
    <m/>
    <m/>
    <m/>
    <m/>
    <m/>
    <m/>
  </r>
  <r>
    <x v="12"/>
    <s v="Cleveland State Community College "/>
    <m/>
    <n v="219879"/>
    <x v="7"/>
    <n v="73904"/>
    <n v="77183"/>
    <n v="55102"/>
    <n v="53523"/>
    <n v="3910"/>
    <n v="6649"/>
    <n v="8576"/>
    <n v="2047"/>
    <n v="2691"/>
    <n v="10044"/>
    <n v="957"/>
    <n v="4650"/>
    <n v="1578"/>
    <n v="1360"/>
    <n v="0"/>
    <n v="0"/>
    <m/>
    <m/>
    <m/>
    <m/>
    <m/>
    <m/>
    <m/>
    <m/>
    <m/>
    <m/>
    <m/>
    <m/>
  </r>
  <r>
    <x v="12"/>
    <s v="Columbia State Community College "/>
    <m/>
    <n v="219888"/>
    <x v="7"/>
    <n v="105321"/>
    <n v="112558"/>
    <n v="78204"/>
    <n v="75972"/>
    <n v="524"/>
    <n v="7395"/>
    <n v="13213"/>
    <n v="6700"/>
    <n v="6573"/>
    <n v="15625"/>
    <n v="6441"/>
    <n v="7018"/>
    <n v="107"/>
    <n v="107"/>
    <n v="0"/>
    <n v="0"/>
    <m/>
    <m/>
    <m/>
    <m/>
    <m/>
    <m/>
    <m/>
    <m/>
    <m/>
    <m/>
    <m/>
    <m/>
  </r>
  <r>
    <x v="12"/>
    <s v="Jackson State Community College "/>
    <m/>
    <n v="220400"/>
    <x v="7"/>
    <n v="102180"/>
    <n v="109536"/>
    <n v="63861"/>
    <n v="62450"/>
    <n v="1529"/>
    <n v="1232"/>
    <n v="21546"/>
    <n v="1586"/>
    <n v="13623"/>
    <n v="28762"/>
    <n v="4114"/>
    <n v="12771"/>
    <n v="35"/>
    <n v="207"/>
    <n v="0"/>
    <n v="0"/>
    <m/>
    <m/>
    <m/>
    <m/>
    <m/>
    <m/>
    <m/>
    <m/>
    <m/>
    <m/>
    <m/>
    <m/>
  </r>
  <r>
    <x v="12"/>
    <s v="Motlow State Community College "/>
    <m/>
    <n v="221096"/>
    <x v="7"/>
    <n v="99612"/>
    <n v="105775"/>
    <n v="80499"/>
    <n v="81533"/>
    <n v="14"/>
    <n v="3684"/>
    <n v="13303"/>
    <n v="5611"/>
    <n v="0"/>
    <n v="14923"/>
    <n v="5478"/>
    <n v="0"/>
    <n v="185"/>
    <n v="157"/>
    <n v="0"/>
    <n v="0"/>
    <m/>
    <m/>
    <m/>
    <m/>
    <m/>
    <m/>
    <m/>
    <m/>
    <m/>
    <m/>
    <m/>
    <m/>
  </r>
  <r>
    <x v="12"/>
    <s v="Nashville State Technical Community College"/>
    <s v="Met the criteria for Two-year 1 in 2009-10 and 2010-11."/>
    <n v="221184"/>
    <x v="7"/>
    <n v="165167"/>
    <n v="188287"/>
    <n v="129915"/>
    <n v="136317"/>
    <n v="87"/>
    <n v="9434"/>
    <n v="33442"/>
    <n v="0"/>
    <n v="1698"/>
    <n v="38987"/>
    <n v="0"/>
    <n v="3447"/>
    <n v="25"/>
    <n v="102"/>
    <n v="0"/>
    <n v="0"/>
    <m/>
    <m/>
    <m/>
    <m/>
    <m/>
    <m/>
    <m/>
    <m/>
    <m/>
    <m/>
    <m/>
    <m/>
  </r>
  <r>
    <x v="12"/>
    <s v="Northeast State Technical Community College"/>
    <m/>
    <n v="221908"/>
    <x v="7"/>
    <n v="127736"/>
    <n v="141525"/>
    <n v="105256"/>
    <n v="108718"/>
    <n v="1688"/>
    <n v="9828"/>
    <n v="6531"/>
    <n v="3219"/>
    <n v="10996"/>
    <n v="7172"/>
    <n v="3606"/>
    <n v="12137"/>
    <n v="46"/>
    <n v="64"/>
    <n v="0"/>
    <n v="0"/>
    <m/>
    <m/>
    <m/>
    <m/>
    <m/>
    <m/>
    <m/>
    <m/>
    <m/>
    <m/>
    <m/>
    <m/>
  </r>
  <r>
    <x v="12"/>
    <s v="Roane State Community College "/>
    <m/>
    <n v="221397"/>
    <x v="7"/>
    <n v="124148"/>
    <n v="135080"/>
    <n v="92637"/>
    <n v="93396"/>
    <n v="1844"/>
    <n v="3473"/>
    <n v="19927"/>
    <n v="7496"/>
    <n v="2159"/>
    <n v="24860"/>
    <n v="8852"/>
    <n v="4397"/>
    <n v="85"/>
    <n v="102"/>
    <n v="0"/>
    <n v="0"/>
    <m/>
    <m/>
    <m/>
    <m/>
    <m/>
    <m/>
    <m/>
    <m/>
    <m/>
    <m/>
    <m/>
    <m/>
  </r>
  <r>
    <x v="12"/>
    <s v="Volunteer State Community College "/>
    <s v="Met the criteria for Two-Year 1 in 2009-10 and 2010-11."/>
    <n v="222053"/>
    <x v="7"/>
    <n v="165237"/>
    <n v="177755"/>
    <n v="119517"/>
    <n v="124494"/>
    <n v="6508"/>
    <n v="4641"/>
    <n v="31168"/>
    <n v="743"/>
    <n v="7055"/>
    <n v="39394"/>
    <n v="343"/>
    <n v="8452"/>
    <n v="246"/>
    <n v="431"/>
    <n v="0"/>
    <n v="0"/>
    <m/>
    <m/>
    <m/>
    <m/>
    <m/>
    <m/>
    <m/>
    <m/>
    <m/>
    <m/>
    <m/>
    <m/>
  </r>
  <r>
    <x v="12"/>
    <s v="Walters State Community College "/>
    <m/>
    <n v="222062"/>
    <x v="7"/>
    <n v="140252"/>
    <n v="147715"/>
    <n v="106090"/>
    <n v="107742"/>
    <n v="781"/>
    <n v="8269"/>
    <n v="13654"/>
    <n v="7083"/>
    <n v="12636"/>
    <n v="16078"/>
    <n v="4026"/>
    <n v="11586"/>
    <n v="8"/>
    <n v="14"/>
    <n v="0"/>
    <n v="0"/>
    <m/>
    <m/>
    <m/>
    <m/>
    <m/>
    <m/>
    <m/>
    <m/>
    <m/>
    <m/>
    <m/>
    <m/>
  </r>
  <r>
    <x v="12"/>
    <s v="Dyersburg State Community College "/>
    <s v="Met the criteria for Two-Year 2 in 2009-10 and 2010-11."/>
    <n v="220057"/>
    <x v="8"/>
    <n v="61785"/>
    <n v="72924"/>
    <n v="49145"/>
    <n v="47414"/>
    <n v="476"/>
    <n v="8655"/>
    <n v="5962"/>
    <n v="21"/>
    <n v="5959"/>
    <n v="7543"/>
    <n v="961"/>
    <n v="8061"/>
    <n v="222"/>
    <n v="290"/>
    <n v="0"/>
    <n v="0"/>
    <m/>
    <m/>
    <m/>
    <m/>
    <m/>
    <m/>
    <m/>
    <m/>
    <m/>
    <m/>
    <m/>
    <m/>
  </r>
  <r>
    <x v="12"/>
    <s v="Tennessee Technology Center at Athens"/>
    <m/>
    <n v="219596"/>
    <x v="10"/>
    <n v="265960"/>
    <n v="0"/>
    <n v="265960"/>
    <m/>
    <m/>
    <m/>
    <m/>
    <m/>
    <m/>
    <m/>
    <m/>
    <m/>
    <m/>
    <m/>
    <n v="0"/>
    <n v="0"/>
    <m/>
    <m/>
    <m/>
    <m/>
    <m/>
    <m/>
    <m/>
    <m/>
    <m/>
    <m/>
    <m/>
    <m/>
  </r>
  <r>
    <x v="12"/>
    <s v="Tennessee Technology Center at Chattanooga"/>
    <s v="Met the criteria for Technical Institute or College 1 in 2010-11."/>
    <s v="219824B"/>
    <x v="10"/>
    <n v="930245"/>
    <n v="0"/>
    <n v="930245"/>
    <m/>
    <m/>
    <m/>
    <m/>
    <m/>
    <m/>
    <m/>
    <m/>
    <m/>
    <m/>
    <m/>
    <n v="0"/>
    <n v="0"/>
    <m/>
    <m/>
    <m/>
    <m/>
    <m/>
    <m/>
    <m/>
    <m/>
    <m/>
    <m/>
    <m/>
    <m/>
  </r>
  <r>
    <x v="12"/>
    <s v="Tennessee Technology Center at Covington"/>
    <m/>
    <n v="219921"/>
    <x v="10"/>
    <n v="189725"/>
    <n v="0"/>
    <n v="189725"/>
    <m/>
    <m/>
    <m/>
    <m/>
    <m/>
    <m/>
    <m/>
    <m/>
    <m/>
    <m/>
    <m/>
    <n v="0"/>
    <n v="0"/>
    <m/>
    <m/>
    <m/>
    <m/>
    <m/>
    <m/>
    <m/>
    <m/>
    <m/>
    <m/>
    <m/>
    <m/>
  </r>
  <r>
    <x v="12"/>
    <s v="Tennessee Technology Center at Crossville"/>
    <m/>
    <n v="221591"/>
    <x v="10"/>
    <n v="429175"/>
    <n v="0"/>
    <n v="429175"/>
    <m/>
    <m/>
    <m/>
    <m/>
    <m/>
    <m/>
    <m/>
    <m/>
    <m/>
    <m/>
    <m/>
    <n v="0"/>
    <n v="0"/>
    <m/>
    <m/>
    <m/>
    <m/>
    <m/>
    <m/>
    <m/>
    <m/>
    <m/>
    <m/>
    <m/>
    <m/>
  </r>
  <r>
    <x v="12"/>
    <s v="Tennessee Technology Center at Crump"/>
    <m/>
    <n v="221430"/>
    <x v="10"/>
    <n v="270260"/>
    <n v="0"/>
    <n v="270260"/>
    <m/>
    <m/>
    <m/>
    <m/>
    <m/>
    <m/>
    <m/>
    <m/>
    <m/>
    <m/>
    <m/>
    <n v="0"/>
    <n v="0"/>
    <m/>
    <m/>
    <m/>
    <m/>
    <m/>
    <m/>
    <m/>
    <m/>
    <m/>
    <m/>
    <m/>
    <m/>
  </r>
  <r>
    <x v="12"/>
    <s v="Tennessee Technology Center at Dickson"/>
    <m/>
    <n v="219994"/>
    <x v="10"/>
    <n v="522444"/>
    <n v="0"/>
    <n v="522444"/>
    <m/>
    <m/>
    <m/>
    <m/>
    <m/>
    <m/>
    <m/>
    <m/>
    <m/>
    <m/>
    <m/>
    <n v="0"/>
    <n v="0"/>
    <m/>
    <m/>
    <m/>
    <m/>
    <m/>
    <m/>
    <m/>
    <m/>
    <m/>
    <m/>
    <m/>
    <m/>
  </r>
  <r>
    <x v="12"/>
    <s v="Tennessee Technology Center at Elizabethton"/>
    <m/>
    <n v="220127"/>
    <x v="10"/>
    <n v="499957"/>
    <n v="0"/>
    <n v="499957"/>
    <m/>
    <m/>
    <m/>
    <m/>
    <m/>
    <m/>
    <m/>
    <m/>
    <m/>
    <m/>
    <m/>
    <n v="0"/>
    <n v="0"/>
    <m/>
    <m/>
    <m/>
    <m/>
    <m/>
    <m/>
    <m/>
    <m/>
    <m/>
    <m/>
    <m/>
    <m/>
  </r>
  <r>
    <x v="12"/>
    <s v="Tennessee Technology Center at Harriman"/>
    <m/>
    <n v="220251"/>
    <x v="10"/>
    <n v="294989"/>
    <n v="0"/>
    <n v="294989"/>
    <m/>
    <m/>
    <m/>
    <m/>
    <m/>
    <m/>
    <m/>
    <m/>
    <m/>
    <m/>
    <m/>
    <n v="0"/>
    <n v="0"/>
    <m/>
    <m/>
    <m/>
    <m/>
    <m/>
    <m/>
    <m/>
    <m/>
    <m/>
    <m/>
    <m/>
    <m/>
  </r>
  <r>
    <x v="12"/>
    <s v="Tennessee Technology Center at Hartsville"/>
    <m/>
    <n v="220279"/>
    <x v="10"/>
    <n v="383343"/>
    <n v="0"/>
    <n v="383343"/>
    <m/>
    <m/>
    <m/>
    <m/>
    <m/>
    <m/>
    <m/>
    <m/>
    <m/>
    <m/>
    <m/>
    <n v="0"/>
    <n v="0"/>
    <m/>
    <m/>
    <m/>
    <m/>
    <m/>
    <m/>
    <m/>
    <m/>
    <m/>
    <m/>
    <m/>
    <m/>
  </r>
  <r>
    <x v="12"/>
    <s v="Tennessee Technology Center at Hohenwald"/>
    <m/>
    <n v="220321"/>
    <x v="10"/>
    <n v="442185"/>
    <n v="0"/>
    <n v="442185"/>
    <m/>
    <m/>
    <m/>
    <m/>
    <m/>
    <m/>
    <m/>
    <m/>
    <m/>
    <m/>
    <m/>
    <n v="0"/>
    <n v="0"/>
    <m/>
    <m/>
    <m/>
    <m/>
    <m/>
    <m/>
    <m/>
    <m/>
    <m/>
    <m/>
    <m/>
    <m/>
  </r>
  <r>
    <x v="12"/>
    <s v="Tennessee Technology Center at Jacksboro"/>
    <m/>
    <n v="220394"/>
    <x v="10"/>
    <n v="203208"/>
    <n v="0"/>
    <n v="203208"/>
    <m/>
    <m/>
    <m/>
    <m/>
    <m/>
    <m/>
    <m/>
    <m/>
    <m/>
    <m/>
    <m/>
    <n v="0"/>
    <n v="0"/>
    <m/>
    <m/>
    <m/>
    <m/>
    <m/>
    <m/>
    <m/>
    <m/>
    <m/>
    <m/>
    <m/>
    <m/>
  </r>
  <r>
    <x v="12"/>
    <s v="Tennessee Technology Center at Jackson"/>
    <m/>
    <n v="221616"/>
    <x v="10"/>
    <n v="617038"/>
    <n v="0"/>
    <n v="617038"/>
    <m/>
    <m/>
    <m/>
    <m/>
    <m/>
    <m/>
    <m/>
    <m/>
    <m/>
    <m/>
    <m/>
    <n v="0"/>
    <n v="0"/>
    <m/>
    <m/>
    <m/>
    <m/>
    <m/>
    <m/>
    <m/>
    <m/>
    <m/>
    <m/>
    <m/>
    <m/>
  </r>
  <r>
    <x v="12"/>
    <s v="Tennessee Technology Center at Knoxville"/>
    <m/>
    <n v="221625"/>
    <x v="10"/>
    <n v="689994"/>
    <n v="0"/>
    <n v="689994"/>
    <m/>
    <m/>
    <m/>
    <m/>
    <m/>
    <m/>
    <m/>
    <m/>
    <m/>
    <m/>
    <m/>
    <n v="0"/>
    <n v="0"/>
    <m/>
    <m/>
    <m/>
    <m/>
    <m/>
    <m/>
    <m/>
    <m/>
    <m/>
    <m/>
    <m/>
    <m/>
  </r>
  <r>
    <x v="12"/>
    <s v="Tennessee Technology Center at Livingston"/>
    <m/>
    <n v="220640"/>
    <x v="10"/>
    <n v="432806"/>
    <n v="0"/>
    <n v="432806"/>
    <m/>
    <m/>
    <m/>
    <m/>
    <m/>
    <m/>
    <m/>
    <m/>
    <m/>
    <m/>
    <m/>
    <n v="0"/>
    <n v="0"/>
    <m/>
    <m/>
    <m/>
    <m/>
    <m/>
    <m/>
    <m/>
    <m/>
    <m/>
    <m/>
    <m/>
    <m/>
  </r>
  <r>
    <x v="12"/>
    <s v="Tennessee Technology Center at McKenzie"/>
    <m/>
    <n v="220756"/>
    <x v="10"/>
    <n v="300489"/>
    <n v="0"/>
    <n v="300489"/>
    <m/>
    <m/>
    <m/>
    <m/>
    <m/>
    <m/>
    <m/>
    <m/>
    <m/>
    <m/>
    <m/>
    <n v="0"/>
    <n v="0"/>
    <m/>
    <m/>
    <m/>
    <m/>
    <m/>
    <m/>
    <m/>
    <m/>
    <m/>
    <m/>
    <m/>
    <m/>
  </r>
  <r>
    <x v="12"/>
    <s v="Tennessee Technology Center at McMinnville"/>
    <m/>
    <n v="221607"/>
    <x v="10"/>
    <n v="303262"/>
    <n v="0"/>
    <n v="303262"/>
    <m/>
    <m/>
    <m/>
    <m/>
    <m/>
    <m/>
    <m/>
    <m/>
    <m/>
    <m/>
    <m/>
    <n v="0"/>
    <n v="0"/>
    <m/>
    <m/>
    <m/>
    <m/>
    <m/>
    <m/>
    <m/>
    <m/>
    <m/>
    <m/>
    <m/>
    <m/>
  </r>
  <r>
    <x v="12"/>
    <s v="Tennessee Technology Center at Memphis"/>
    <m/>
    <n v="220853"/>
    <x v="10"/>
    <n v="735462"/>
    <n v="0"/>
    <n v="735462"/>
    <m/>
    <m/>
    <m/>
    <m/>
    <m/>
    <m/>
    <m/>
    <m/>
    <m/>
    <m/>
    <m/>
    <n v="0"/>
    <n v="0"/>
    <m/>
    <m/>
    <m/>
    <m/>
    <m/>
    <m/>
    <m/>
    <m/>
    <m/>
    <m/>
    <m/>
    <m/>
  </r>
  <r>
    <x v="12"/>
    <s v="Tennessee Technology Center at Morristown"/>
    <m/>
    <n v="221050"/>
    <x v="10"/>
    <n v="634754"/>
    <n v="0"/>
    <n v="634754"/>
    <m/>
    <m/>
    <m/>
    <m/>
    <m/>
    <m/>
    <m/>
    <m/>
    <m/>
    <m/>
    <m/>
    <n v="0"/>
    <n v="0"/>
    <m/>
    <m/>
    <m/>
    <m/>
    <m/>
    <m/>
    <m/>
    <m/>
    <m/>
    <m/>
    <m/>
    <m/>
  </r>
  <r>
    <x v="12"/>
    <s v="Tennessee Technology Center at Murfreesboro"/>
    <m/>
    <n v="221102"/>
    <x v="10"/>
    <n v="433419"/>
    <n v="0"/>
    <n v="433419"/>
    <m/>
    <m/>
    <m/>
    <m/>
    <m/>
    <m/>
    <m/>
    <m/>
    <m/>
    <m/>
    <m/>
    <n v="0"/>
    <n v="0"/>
    <m/>
    <m/>
    <m/>
    <m/>
    <m/>
    <m/>
    <m/>
    <m/>
    <m/>
    <m/>
    <m/>
    <m/>
  </r>
  <r>
    <x v="12"/>
    <s v="Tennessee Technology Center at Nashville"/>
    <m/>
    <n v="248925"/>
    <x v="10"/>
    <n v="660841"/>
    <n v="0"/>
    <n v="660841"/>
    <m/>
    <m/>
    <m/>
    <m/>
    <m/>
    <m/>
    <m/>
    <m/>
    <m/>
    <m/>
    <m/>
    <n v="0"/>
    <n v="0"/>
    <m/>
    <m/>
    <m/>
    <m/>
    <m/>
    <m/>
    <m/>
    <m/>
    <m/>
    <m/>
    <m/>
    <m/>
  </r>
  <r>
    <x v="12"/>
    <s v="Tennessee Technology Center at Newbern"/>
    <m/>
    <n v="221236"/>
    <x v="10"/>
    <n v="275708"/>
    <n v="0"/>
    <n v="275708"/>
    <m/>
    <m/>
    <m/>
    <m/>
    <m/>
    <m/>
    <m/>
    <m/>
    <m/>
    <m/>
    <m/>
    <n v="0"/>
    <n v="0"/>
    <m/>
    <m/>
    <m/>
    <m/>
    <m/>
    <m/>
    <m/>
    <m/>
    <m/>
    <m/>
    <m/>
    <m/>
  </r>
  <r>
    <x v="12"/>
    <s v="Tennessee Technology Center at Oneida"/>
    <m/>
    <n v="221582"/>
    <x v="10"/>
    <n v="300534"/>
    <n v="0"/>
    <n v="300534"/>
    <m/>
    <m/>
    <m/>
    <m/>
    <m/>
    <m/>
    <m/>
    <m/>
    <m/>
    <m/>
    <m/>
    <n v="0"/>
    <n v="0"/>
    <m/>
    <m/>
    <m/>
    <m/>
    <m/>
    <m/>
    <m/>
    <m/>
    <m/>
    <m/>
    <m/>
    <m/>
  </r>
  <r>
    <x v="12"/>
    <s v="Tennessee Technology Center at Paris"/>
    <m/>
    <n v="221281"/>
    <x v="10"/>
    <n v="345687"/>
    <n v="0"/>
    <n v="345687"/>
    <m/>
    <m/>
    <m/>
    <m/>
    <m/>
    <m/>
    <m/>
    <m/>
    <m/>
    <m/>
    <m/>
    <n v="0"/>
    <n v="0"/>
    <m/>
    <m/>
    <m/>
    <m/>
    <m/>
    <m/>
    <m/>
    <m/>
    <m/>
    <m/>
    <m/>
    <m/>
  </r>
  <r>
    <x v="12"/>
    <s v="Tennessee Technology Center at Pulaski"/>
    <m/>
    <n v="221333"/>
    <x v="10"/>
    <n v="425190"/>
    <n v="0"/>
    <n v="425190"/>
    <m/>
    <m/>
    <m/>
    <m/>
    <m/>
    <m/>
    <m/>
    <m/>
    <m/>
    <m/>
    <m/>
    <n v="0"/>
    <n v="0"/>
    <m/>
    <m/>
    <m/>
    <m/>
    <m/>
    <m/>
    <m/>
    <m/>
    <m/>
    <m/>
    <m/>
    <m/>
  </r>
  <r>
    <x v="12"/>
    <s v="Tennessee Technology Center at Ripley"/>
    <m/>
    <n v="221388"/>
    <x v="10"/>
    <n v="204305"/>
    <n v="0"/>
    <n v="204305"/>
    <m/>
    <m/>
    <m/>
    <m/>
    <m/>
    <m/>
    <m/>
    <m/>
    <m/>
    <m/>
    <m/>
    <n v="0"/>
    <n v="0"/>
    <m/>
    <m/>
    <m/>
    <m/>
    <m/>
    <m/>
    <m/>
    <m/>
    <m/>
    <m/>
    <m/>
    <m/>
  </r>
  <r>
    <x v="12"/>
    <s v="Tennessee Technology Center at Shelbyville"/>
    <m/>
    <n v="221494"/>
    <x v="10"/>
    <n v="572290"/>
    <n v="0"/>
    <n v="572290"/>
    <m/>
    <m/>
    <m/>
    <m/>
    <m/>
    <m/>
    <m/>
    <m/>
    <m/>
    <m/>
    <m/>
    <n v="0"/>
    <n v="0"/>
    <m/>
    <m/>
    <m/>
    <m/>
    <m/>
    <m/>
    <m/>
    <m/>
    <m/>
    <m/>
    <m/>
    <m/>
  </r>
  <r>
    <x v="12"/>
    <s v="Tennessee Technology Center at Whiteville"/>
    <m/>
    <n v="221634"/>
    <x v="10"/>
    <n v="190029"/>
    <n v="0"/>
    <n v="190029"/>
    <m/>
    <m/>
    <m/>
    <m/>
    <m/>
    <m/>
    <m/>
    <m/>
    <m/>
    <m/>
    <m/>
    <n v="0"/>
    <n v="0"/>
    <m/>
    <m/>
    <m/>
    <m/>
    <m/>
    <m/>
    <m/>
    <m/>
    <m/>
    <m/>
    <m/>
    <m/>
  </r>
  <r>
    <x v="13"/>
    <s v="Texas A &amp; M University "/>
    <m/>
    <n v="228723"/>
    <x v="0"/>
    <n v="1062336"/>
    <n v="1063598"/>
    <n v="1025839"/>
    <n v="1015216"/>
    <n v="4612"/>
    <n v="6032"/>
    <n v="31510"/>
    <n v="0"/>
    <n v="375"/>
    <n v="37071"/>
    <n v="20"/>
    <n v="5259"/>
    <m/>
    <m/>
    <n v="173168"/>
    <n v="177489"/>
    <n v="157828"/>
    <n v="156968"/>
    <n v="2739"/>
    <n v="2970"/>
    <n v="11692"/>
    <n v="525"/>
    <n v="384"/>
    <n v="12682"/>
    <n v="254"/>
    <n v="4615"/>
    <m/>
    <m/>
  </r>
  <r>
    <x v="13"/>
    <s v="Texas Tech University "/>
    <m/>
    <n v="229115"/>
    <x v="0"/>
    <n v="648835"/>
    <n v="689132"/>
    <n v="631272"/>
    <n v="660748"/>
    <n v="6079"/>
    <n v="7960"/>
    <n v="11484"/>
    <n v="0"/>
    <n v="0"/>
    <n v="20409"/>
    <n v="0"/>
    <n v="15"/>
    <m/>
    <m/>
    <n v="109769"/>
    <n v="118242"/>
    <n v="98506"/>
    <n v="100163"/>
    <n v="2164"/>
    <n v="2011"/>
    <n v="9076"/>
    <n v="15"/>
    <n v="8"/>
    <n v="16033"/>
    <n v="0"/>
    <n v="35"/>
    <m/>
    <m/>
  </r>
  <r>
    <x v="13"/>
    <s v="University of Houston"/>
    <m/>
    <n v="225511"/>
    <x v="0"/>
    <n v="707195"/>
    <n v="741538"/>
    <n v="583885"/>
    <n v="599157"/>
    <n v="4505"/>
    <n v="4531"/>
    <n v="80300"/>
    <n v="261"/>
    <n v="38244"/>
    <n v="116691"/>
    <n v="162"/>
    <n v="20997"/>
    <m/>
    <m/>
    <n v="168234"/>
    <n v="179542"/>
    <n v="159375"/>
    <n v="167445"/>
    <n v="1128"/>
    <n v="2727"/>
    <n v="6885"/>
    <n v="93"/>
    <n v="753"/>
    <n v="8511"/>
    <n v="69"/>
    <n v="790"/>
    <m/>
    <m/>
  </r>
  <r>
    <x v="13"/>
    <s v="University of North Texas"/>
    <m/>
    <n v="227216"/>
    <x v="0"/>
    <n v="736441"/>
    <n v="745337"/>
    <n v="652966"/>
    <n v="667691"/>
    <n v="17454"/>
    <n v="3640"/>
    <n v="65749"/>
    <n v="157"/>
    <n v="115"/>
    <n v="73940"/>
    <n v="12"/>
    <n v="54"/>
    <m/>
    <m/>
    <n v="105965"/>
    <n v="111147"/>
    <n v="67071"/>
    <n v="73085"/>
    <n v="6587"/>
    <n v="2617"/>
    <n v="31824"/>
    <n v="384"/>
    <n v="99"/>
    <n v="35250"/>
    <n v="168"/>
    <n v="27"/>
    <m/>
    <m/>
  </r>
  <r>
    <x v="13"/>
    <s v="University of Texas at Arlington"/>
    <m/>
    <n v="228769"/>
    <x v="0"/>
    <n v="492163"/>
    <n v="576495"/>
    <n v="454951"/>
    <n v="484110"/>
    <n v="3364"/>
    <n v="2509"/>
    <n v="29762"/>
    <n v="192"/>
    <n v="3894"/>
    <n v="86162"/>
    <n v="273"/>
    <n v="3441"/>
    <m/>
    <m/>
    <n v="101836"/>
    <n v="123024"/>
    <n v="80999"/>
    <n v="85072"/>
    <n v="10187"/>
    <n v="12060"/>
    <n v="9942"/>
    <n v="210"/>
    <n v="498"/>
    <n v="25089"/>
    <n v="108"/>
    <n v="695"/>
    <m/>
    <m/>
  </r>
  <r>
    <x v="13"/>
    <s v="University of Texas at Austin"/>
    <m/>
    <n v="228778"/>
    <x v="0"/>
    <n v="1028906"/>
    <n v="1037705"/>
    <n v="1024600"/>
    <n v="1032585"/>
    <n v="4306"/>
    <n v="5120"/>
    <n v="0"/>
    <n v="0"/>
    <n v="0"/>
    <n v="0"/>
    <n v="0"/>
    <n v="0"/>
    <m/>
    <m/>
    <n v="265480"/>
    <n v="268580"/>
    <n v="264575"/>
    <n v="268094"/>
    <n v="905"/>
    <n v="486"/>
    <n v="0"/>
    <n v="0"/>
    <n v="0"/>
    <n v="0"/>
    <n v="0"/>
    <n v="0"/>
    <m/>
    <m/>
  </r>
  <r>
    <x v="13"/>
    <s v="University of Texas at Dallas"/>
    <m/>
    <n v="228787"/>
    <x v="0"/>
    <n v="252709"/>
    <n v="268230"/>
    <n v="249794"/>
    <n v="261382"/>
    <n v="343"/>
    <n v="1221"/>
    <n v="2572"/>
    <n v="0"/>
    <n v="0"/>
    <n v="5606"/>
    <n v="21"/>
    <n v="0"/>
    <m/>
    <m/>
    <n v="99379"/>
    <n v="114444"/>
    <n v="87327"/>
    <n v="99432"/>
    <n v="235"/>
    <n v="468"/>
    <n v="11814"/>
    <n v="0"/>
    <n v="3"/>
    <n v="14544"/>
    <n v="0"/>
    <n v="0"/>
    <m/>
    <m/>
  </r>
  <r>
    <x v="13"/>
    <s v="Texas Woman's University"/>
    <s v="Met the criteria for Four-Year 1 in 2010-11."/>
    <n v="229179"/>
    <x v="1"/>
    <n v="196582"/>
    <n v="207868"/>
    <n v="152257"/>
    <n v="154155"/>
    <n v="2717"/>
    <n v="2978"/>
    <n v="41608"/>
    <n v="0"/>
    <n v="0"/>
    <n v="50615"/>
    <n v="60"/>
    <n v="60"/>
    <m/>
    <m/>
    <n v="91903"/>
    <n v="99837"/>
    <n v="47991"/>
    <n v="48747"/>
    <n v="1878"/>
    <n v="1944"/>
    <n v="41173"/>
    <n v="861"/>
    <n v="0"/>
    <n v="48680"/>
    <n v="466"/>
    <n v="0"/>
    <m/>
    <m/>
  </r>
  <r>
    <x v="13"/>
    <s v="University of Texas at El Paso"/>
    <m/>
    <n v="228796"/>
    <x v="1"/>
    <n v="414285"/>
    <n v="435923"/>
    <n v="400523"/>
    <n v="409500"/>
    <n v="3406"/>
    <n v="5130"/>
    <n v="10356"/>
    <n v="0"/>
    <n v="0"/>
    <n v="21293"/>
    <n v="0"/>
    <n v="0"/>
    <m/>
    <m/>
    <n v="55891"/>
    <n v="60139"/>
    <n v="43134"/>
    <n v="45393"/>
    <n v="3870"/>
    <n v="3106"/>
    <n v="8887"/>
    <n v="0"/>
    <n v="0"/>
    <n v="11640"/>
    <n v="0"/>
    <n v="0"/>
    <m/>
    <m/>
  </r>
  <r>
    <x v="13"/>
    <s v="University of Texas at San Antonio"/>
    <m/>
    <n v="229027"/>
    <x v="1"/>
    <n v="610982"/>
    <n v="631779"/>
    <n v="593018"/>
    <n v="612260"/>
    <n v="3014"/>
    <n v="2580"/>
    <n v="10822"/>
    <n v="4128"/>
    <n v="0"/>
    <n v="11230"/>
    <n v="5709"/>
    <n v="0"/>
    <m/>
    <m/>
    <n v="54987"/>
    <n v="63158"/>
    <n v="53316"/>
    <n v="61073"/>
    <n v="741"/>
    <n v="720"/>
    <n v="837"/>
    <n v="93"/>
    <n v="0"/>
    <n v="1212"/>
    <n v="153"/>
    <n v="0"/>
    <m/>
    <m/>
  </r>
  <r>
    <x v="13"/>
    <s v="Angelo State University"/>
    <m/>
    <n v="222831"/>
    <x v="2"/>
    <n v="145855"/>
    <n v="150284"/>
    <n v="140247"/>
    <n v="139059"/>
    <n v="0"/>
    <n v="0"/>
    <n v="5557"/>
    <n v="51"/>
    <n v="0"/>
    <n v="11225"/>
    <n v="0"/>
    <n v="0"/>
    <m/>
    <m/>
    <n v="9947"/>
    <n v="11853"/>
    <n v="6697"/>
    <n v="5210"/>
    <n v="0"/>
    <n v="0"/>
    <n v="3250"/>
    <n v="0"/>
    <n v="0"/>
    <n v="6643"/>
    <n v="0"/>
    <n v="0"/>
    <m/>
    <m/>
  </r>
  <r>
    <x v="13"/>
    <s v="Lamar University"/>
    <m/>
    <n v="226091"/>
    <x v="2"/>
    <n v="228464"/>
    <n v="232181"/>
    <n v="199702"/>
    <n v="197967"/>
    <n v="4062"/>
    <n v="4041"/>
    <n v="22371"/>
    <n v="2329"/>
    <n v="0"/>
    <n v="27213"/>
    <n v="2669"/>
    <n v="291"/>
    <m/>
    <m/>
    <n v="102152"/>
    <n v="98151"/>
    <n v="22121"/>
    <n v="22898"/>
    <n v="0"/>
    <n v="0"/>
    <n v="1482"/>
    <n v="0"/>
    <n v="78549"/>
    <n v="28495"/>
    <n v="330"/>
    <n v="46428"/>
    <m/>
    <m/>
  </r>
  <r>
    <x v="13"/>
    <s v="Midwestern State University"/>
    <m/>
    <n v="226833"/>
    <x v="2"/>
    <n v="139047"/>
    <n v="141792"/>
    <n v="121608"/>
    <n v="123522"/>
    <n v="2367"/>
    <n v="2623"/>
    <n v="15003"/>
    <n v="0"/>
    <n v="69"/>
    <n v="15647"/>
    <n v="0"/>
    <n v="0"/>
    <m/>
    <m/>
    <n v="8667"/>
    <n v="8356"/>
    <n v="6319"/>
    <n v="5894"/>
    <n v="84"/>
    <n v="108"/>
    <n v="2111"/>
    <n v="153"/>
    <n v="0"/>
    <n v="2312"/>
    <n v="42"/>
    <n v="0"/>
    <m/>
    <m/>
  </r>
  <r>
    <x v="13"/>
    <s v="Prairie View A &amp; M University"/>
    <m/>
    <n v="227526"/>
    <x v="2"/>
    <n v="172879"/>
    <n v="182890"/>
    <n v="162235"/>
    <n v="176738"/>
    <n v="9819"/>
    <n v="5360"/>
    <n v="825"/>
    <n v="0"/>
    <n v="0"/>
    <n v="792"/>
    <n v="0"/>
    <n v="0"/>
    <m/>
    <m/>
    <n v="33085"/>
    <n v="32482"/>
    <n v="24973"/>
    <n v="26648"/>
    <n v="4437"/>
    <n v="2042"/>
    <n v="3675"/>
    <n v="0"/>
    <n v="0"/>
    <n v="3792"/>
    <n v="0"/>
    <n v="0"/>
    <m/>
    <m/>
  </r>
  <r>
    <x v="13"/>
    <s v="Sam Houston State University "/>
    <m/>
    <n v="227881"/>
    <x v="2"/>
    <n v="398693"/>
    <n v="401035"/>
    <n v="373718"/>
    <n v="365223"/>
    <n v="19691"/>
    <n v="20939"/>
    <n v="5251"/>
    <n v="33"/>
    <n v="0"/>
    <n v="14873"/>
    <n v="0"/>
    <n v="0"/>
    <m/>
    <m/>
    <n v="35248"/>
    <n v="41725"/>
    <n v="14051"/>
    <n v="16059"/>
    <n v="7169"/>
    <n v="7237"/>
    <n v="13584"/>
    <n v="444"/>
    <n v="0"/>
    <n v="18357"/>
    <n v="72"/>
    <n v="0"/>
    <m/>
    <m/>
  </r>
  <r>
    <x v="13"/>
    <s v="Stephen F. Austin State University"/>
    <m/>
    <n v="228431"/>
    <x v="2"/>
    <n v="297592"/>
    <n v="304689"/>
    <n v="262121"/>
    <n v="265392"/>
    <n v="7063"/>
    <n v="3705"/>
    <n v="28246"/>
    <n v="162"/>
    <n v="0"/>
    <n v="32900"/>
    <n v="249"/>
    <n v="2443"/>
    <m/>
    <m/>
    <n v="27857"/>
    <n v="27713"/>
    <n v="15835"/>
    <n v="16426"/>
    <n v="1922"/>
    <n v="1248"/>
    <n v="9814"/>
    <n v="238"/>
    <n v="48"/>
    <n v="9395"/>
    <n v="217"/>
    <n v="427"/>
    <m/>
    <m/>
  </r>
  <r>
    <x v="13"/>
    <s v="Sul Ross State University "/>
    <m/>
    <n v="228501"/>
    <x v="2"/>
    <n v="35901"/>
    <n v="36926"/>
    <n v="32095"/>
    <n v="32570"/>
    <n v="22"/>
    <n v="53"/>
    <n v="2827"/>
    <n v="957"/>
    <n v="0"/>
    <n v="3438"/>
    <n v="865"/>
    <n v="0"/>
    <m/>
    <m/>
    <n v="9411"/>
    <n v="9264"/>
    <n v="4719"/>
    <n v="3889"/>
    <n v="561"/>
    <n v="572"/>
    <n v="3855"/>
    <n v="276"/>
    <n v="0"/>
    <n v="4155"/>
    <n v="648"/>
    <n v="0"/>
    <m/>
    <m/>
  </r>
  <r>
    <x v="13"/>
    <s v="Tarleton State University"/>
    <m/>
    <n v="228529"/>
    <x v="2"/>
    <n v="202710"/>
    <n v="196208"/>
    <n v="154056"/>
    <n v="156242"/>
    <n v="30273"/>
    <n v="15185"/>
    <n v="16209"/>
    <n v="2172"/>
    <n v="0"/>
    <n v="24091"/>
    <n v="690"/>
    <n v="0"/>
    <m/>
    <m/>
    <n v="28095"/>
    <n v="21239"/>
    <n v="5572"/>
    <n v="5253"/>
    <n v="15460"/>
    <n v="8113"/>
    <n v="6762"/>
    <n v="301"/>
    <n v="0"/>
    <n v="7765"/>
    <n v="108"/>
    <n v="0"/>
    <m/>
    <m/>
  </r>
  <r>
    <x v="13"/>
    <s v="Texas A &amp; M International University"/>
    <m/>
    <n v="226152"/>
    <x v="2"/>
    <n v="119975"/>
    <n v="133036"/>
    <n v="114864"/>
    <n v="126419"/>
    <n v="0"/>
    <n v="0"/>
    <n v="5111"/>
    <n v="0"/>
    <n v="0"/>
    <n v="6617"/>
    <n v="0"/>
    <n v="0"/>
    <m/>
    <m/>
    <n v="15133"/>
    <n v="14220"/>
    <n v="11947"/>
    <n v="10989"/>
    <n v="0"/>
    <n v="0"/>
    <n v="3015"/>
    <n v="171"/>
    <n v="0"/>
    <n v="3060"/>
    <n v="171"/>
    <n v="0"/>
    <m/>
    <m/>
  </r>
  <r>
    <x v="13"/>
    <s v="Texas A &amp; M University - Commerce"/>
    <m/>
    <n v="224554"/>
    <x v="2"/>
    <n v="134111"/>
    <n v="149128"/>
    <n v="91574"/>
    <n v="98196"/>
    <n v="14150"/>
    <n v="14970"/>
    <n v="27982"/>
    <n v="405"/>
    <n v="0"/>
    <n v="35659"/>
    <n v="303"/>
    <n v="0"/>
    <m/>
    <m/>
    <n v="60044"/>
    <n v="64200"/>
    <n v="17090"/>
    <n v="17488"/>
    <n v="16441"/>
    <n v="16093"/>
    <n v="25790"/>
    <n v="723"/>
    <n v="0"/>
    <n v="30190"/>
    <n v="429"/>
    <n v="0"/>
    <m/>
    <m/>
  </r>
  <r>
    <x v="13"/>
    <s v="Texas A &amp; M University-Corpus Christi "/>
    <m/>
    <n v="224147"/>
    <x v="2"/>
    <n v="197980"/>
    <n v="210868"/>
    <n v="195573"/>
    <n v="203818"/>
    <n v="0"/>
    <n v="0"/>
    <n v="2407"/>
    <n v="0"/>
    <n v="0"/>
    <n v="7050"/>
    <n v="0"/>
    <n v="0"/>
    <m/>
    <m/>
    <n v="27951"/>
    <n v="31031"/>
    <n v="25647"/>
    <n v="24486"/>
    <n v="0"/>
    <n v="0"/>
    <n v="2304"/>
    <n v="0"/>
    <n v="0"/>
    <n v="6545"/>
    <n v="0"/>
    <n v="0"/>
    <m/>
    <m/>
  </r>
  <r>
    <x v="13"/>
    <s v="Texas A &amp; M University-Kingsville"/>
    <m/>
    <n v="228705"/>
    <x v="2"/>
    <n v="132231"/>
    <n v="131247"/>
    <n v="112695"/>
    <n v="127316"/>
    <n v="16656"/>
    <n v="947"/>
    <n v="2331"/>
    <n v="549"/>
    <n v="0"/>
    <n v="2640"/>
    <n v="344"/>
    <n v="0"/>
    <m/>
    <m/>
    <n v="27076"/>
    <n v="21491"/>
    <n v="18646"/>
    <n v="16976"/>
    <n v="4170"/>
    <n v="0"/>
    <n v="4128"/>
    <n v="132"/>
    <n v="0"/>
    <n v="4416"/>
    <n v="99"/>
    <n v="0"/>
    <m/>
    <m/>
  </r>
  <r>
    <x v="13"/>
    <s v="Texas Southern University "/>
    <m/>
    <n v="229063"/>
    <x v="2"/>
    <n v="177407"/>
    <n v="188315"/>
    <n v="175823"/>
    <n v="184649"/>
    <n v="165"/>
    <n v="90"/>
    <n v="0"/>
    <n v="0"/>
    <n v="1419"/>
    <n v="1227"/>
    <n v="0"/>
    <n v="2349"/>
    <m/>
    <m/>
    <n v="46198"/>
    <n v="53606"/>
    <n v="45106"/>
    <n v="48809"/>
    <n v="324"/>
    <n v="369"/>
    <n v="0"/>
    <n v="0"/>
    <n v="768"/>
    <n v="2619"/>
    <n v="0"/>
    <n v="1809"/>
    <m/>
    <m/>
  </r>
  <r>
    <x v="13"/>
    <s v="Texas State University - San Marcos "/>
    <m/>
    <n v="228459"/>
    <x v="2"/>
    <n v="677840"/>
    <n v="711892"/>
    <n v="648891"/>
    <n v="672208"/>
    <n v="20220"/>
    <n v="28613"/>
    <n v="8285"/>
    <n v="78"/>
    <n v="366"/>
    <n v="10578"/>
    <n v="217"/>
    <n v="276"/>
    <m/>
    <m/>
    <n v="72757"/>
    <n v="78046"/>
    <n v="57162"/>
    <n v="60760"/>
    <n v="10562"/>
    <n v="10625"/>
    <n v="4931"/>
    <n v="60"/>
    <n v="42"/>
    <n v="6040"/>
    <n v="573"/>
    <n v="48"/>
    <m/>
    <m/>
  </r>
  <r>
    <x v="13"/>
    <s v="University of Houston-Clear Lake "/>
    <m/>
    <n v="225414"/>
    <x v="2"/>
    <n v="95070"/>
    <n v="103500"/>
    <n v="77661"/>
    <n v="80826"/>
    <n v="4155"/>
    <n v="6642"/>
    <n v="13254"/>
    <n v="0"/>
    <n v="0"/>
    <n v="16032"/>
    <n v="0"/>
    <n v="0"/>
    <m/>
    <m/>
    <n v="50931"/>
    <n v="53447"/>
    <n v="32294"/>
    <n v="33248"/>
    <n v="6252"/>
    <n v="6044"/>
    <n v="12385"/>
    <n v="0"/>
    <n v="0"/>
    <n v="14155"/>
    <n v="0"/>
    <n v="0"/>
    <m/>
    <m/>
  </r>
  <r>
    <x v="13"/>
    <s v="University of Texas at Tyler"/>
    <m/>
    <n v="228802"/>
    <x v="2"/>
    <n v="126341"/>
    <n v="125035"/>
    <n v="112868"/>
    <n v="112529"/>
    <n v="1548"/>
    <n v="1643"/>
    <n v="6188"/>
    <n v="5737"/>
    <n v="0"/>
    <n v="5936"/>
    <n v="4927"/>
    <n v="0"/>
    <m/>
    <m/>
    <n v="13307"/>
    <n v="19100"/>
    <n v="8861"/>
    <n v="9974"/>
    <n v="324"/>
    <n v="84"/>
    <n v="3933"/>
    <n v="189"/>
    <n v="0"/>
    <n v="8679"/>
    <n v="363"/>
    <n v="0"/>
    <m/>
    <m/>
  </r>
  <r>
    <x v="13"/>
    <s v="University of Texas-Pan American"/>
    <m/>
    <n v="227368"/>
    <x v="2"/>
    <n v="418428"/>
    <n v="432823"/>
    <n v="407634"/>
    <n v="402907"/>
    <n v="4640"/>
    <n v="3261"/>
    <n v="5794"/>
    <n v="360"/>
    <n v="0"/>
    <n v="26085"/>
    <n v="570"/>
    <n v="0"/>
    <m/>
    <m/>
    <n v="39437"/>
    <n v="43229"/>
    <n v="37544"/>
    <n v="37173"/>
    <n v="78"/>
    <n v="2703"/>
    <n v="1815"/>
    <n v="0"/>
    <n v="0"/>
    <n v="3353"/>
    <n v="0"/>
    <n v="0"/>
    <m/>
    <m/>
  </r>
  <r>
    <x v="13"/>
    <s v="West Texas A &amp; M University"/>
    <m/>
    <n v="229814"/>
    <x v="2"/>
    <n v="162080"/>
    <n v="167750"/>
    <n v="133024"/>
    <n v="135758"/>
    <n v="0"/>
    <n v="87"/>
    <n v="29056"/>
    <n v="0"/>
    <n v="0"/>
    <n v="31905"/>
    <n v="0"/>
    <n v="0"/>
    <m/>
    <m/>
    <n v="20395"/>
    <n v="20269"/>
    <n v="10163"/>
    <n v="9853"/>
    <n v="231"/>
    <n v="252"/>
    <n v="10001"/>
    <n v="0"/>
    <n v="0"/>
    <n v="10164"/>
    <n v="0"/>
    <n v="0"/>
    <m/>
    <m/>
  </r>
  <r>
    <x v="13"/>
    <s v="Texas A &amp; M -Texarkana"/>
    <m/>
    <n v="224545"/>
    <x v="3"/>
    <n v="24286"/>
    <n v="27281"/>
    <n v="16034"/>
    <n v="16265"/>
    <n v="3864"/>
    <n v="4086"/>
    <n v="4242"/>
    <n v="146"/>
    <n v="0"/>
    <n v="6324"/>
    <n v="606"/>
    <n v="0"/>
    <m/>
    <m/>
    <n v="9072"/>
    <n v="9721"/>
    <n v="6075"/>
    <n v="5089"/>
    <n v="663"/>
    <n v="1590"/>
    <n v="2334"/>
    <n v="0"/>
    <n v="0"/>
    <n v="3042"/>
    <n v="0"/>
    <n v="0"/>
    <m/>
    <m/>
  </r>
  <r>
    <x v="13"/>
    <s v="University of Houston-Victoria"/>
    <m/>
    <n v="225502"/>
    <x v="3"/>
    <n v="40758"/>
    <n v="49683"/>
    <n v="3793"/>
    <n v="6829"/>
    <n v="7695"/>
    <n v="7859"/>
    <n v="26856"/>
    <n v="0"/>
    <n v="2414"/>
    <n v="30849"/>
    <n v="1379"/>
    <n v="2767"/>
    <m/>
    <m/>
    <n v="25069"/>
    <n v="27186"/>
    <n v="967"/>
    <n v="981"/>
    <n v="5742"/>
    <n v="5853"/>
    <n v="17460"/>
    <n v="0"/>
    <n v="900"/>
    <n v="18906"/>
    <n v="789"/>
    <n v="657"/>
    <m/>
    <m/>
  </r>
  <r>
    <x v="13"/>
    <s v="University of Texas at Brownsville"/>
    <s v="Reclassified: Met the criteria for Four-Year 3 in 2008-09, 2009-10 and 2010-11."/>
    <n v="227377"/>
    <x v="2"/>
    <n v="89797"/>
    <n v="96681"/>
    <n v="74569"/>
    <n v="80727"/>
    <n v="0"/>
    <n v="0"/>
    <n v="15228"/>
    <n v="0"/>
    <n v="0"/>
    <n v="15954"/>
    <n v="0"/>
    <n v="0"/>
    <m/>
    <m/>
    <n v="11711"/>
    <n v="12357"/>
    <n v="9719"/>
    <n v="9949"/>
    <n v="0"/>
    <n v="0"/>
    <n v="1992"/>
    <n v="0"/>
    <n v="0"/>
    <n v="2408"/>
    <n v="0"/>
    <n v="0"/>
    <m/>
    <m/>
  </r>
  <r>
    <x v="13"/>
    <s v="University of Texas of the Permian Basin"/>
    <s v="Met the criteria for Four-Year 3 in 2009-10 and 2010-11."/>
    <n v="229018"/>
    <x v="3"/>
    <n v="67756"/>
    <n v="74012"/>
    <n v="57391"/>
    <n v="59299"/>
    <n v="870"/>
    <n v="622"/>
    <n v="9432"/>
    <n v="63"/>
    <n v="0"/>
    <n v="14079"/>
    <n v="12"/>
    <n v="0"/>
    <m/>
    <m/>
    <n v="10192"/>
    <n v="10029"/>
    <n v="6769"/>
    <n v="5712"/>
    <n v="54"/>
    <n v="33"/>
    <n v="3369"/>
    <n v="0"/>
    <n v="0"/>
    <n v="4284"/>
    <n v="0"/>
    <n v="0"/>
    <m/>
    <m/>
  </r>
  <r>
    <x v="13"/>
    <s v="Sul Ross State University-Rio Grande College"/>
    <m/>
    <s v="228501B"/>
    <x v="4"/>
    <n v="15986"/>
    <n v="17595"/>
    <n v="9032"/>
    <n v="8539"/>
    <n v="0"/>
    <n v="0"/>
    <n v="2694"/>
    <n v="4239"/>
    <n v="21"/>
    <n v="4253"/>
    <n v="4803"/>
    <n v="0"/>
    <m/>
    <m/>
    <n v="3306"/>
    <n v="3612"/>
    <n v="2310"/>
    <n v="2052"/>
    <n v="0"/>
    <n v="0"/>
    <n v="705"/>
    <n v="285"/>
    <n v="6"/>
    <n v="1161"/>
    <n v="399"/>
    <n v="0"/>
    <m/>
    <m/>
  </r>
  <r>
    <x v="13"/>
    <s v="University of Houston-Downtown"/>
    <m/>
    <n v="225432"/>
    <x v="4"/>
    <n v="260497"/>
    <n v="264140"/>
    <n v="219564"/>
    <n v="211159"/>
    <n v="12985"/>
    <n v="12808"/>
    <n v="26220"/>
    <n v="1458"/>
    <n v="270"/>
    <n v="39399"/>
    <n v="774"/>
    <n v="0"/>
    <m/>
    <m/>
    <n v="2184"/>
    <n v="2013"/>
    <n v="2157"/>
    <n v="1911"/>
    <n v="9"/>
    <n v="30"/>
    <n v="18"/>
    <n v="0"/>
    <n v="0"/>
    <n v="72"/>
    <n v="0"/>
    <n v="0"/>
    <m/>
    <m/>
  </r>
  <r>
    <x v="13"/>
    <s v="Texas A &amp; M University at Galveston"/>
    <m/>
    <n v="228714"/>
    <x v="5"/>
    <n v="49077"/>
    <n v="49481"/>
    <n v="49077"/>
    <n v="49475"/>
    <n v="0"/>
    <n v="0"/>
    <n v="0"/>
    <n v="0"/>
    <n v="0"/>
    <n v="6"/>
    <n v="0"/>
    <n v="0"/>
    <m/>
    <m/>
    <n v="874"/>
    <n v="996"/>
    <n v="820"/>
    <n v="921"/>
    <n v="18"/>
    <n v="12"/>
    <n v="36"/>
    <n v="0"/>
    <n v="0"/>
    <n v="42"/>
    <n v="0"/>
    <n v="21"/>
    <m/>
    <m/>
  </r>
  <r>
    <x v="13"/>
    <s v="Brazosport College "/>
    <m/>
    <n v="223506"/>
    <x v="11"/>
    <n v="69862"/>
    <n v="78728"/>
    <n v="56582"/>
    <n v="62683"/>
    <n v="4746"/>
    <n v="4942"/>
    <n v="8534"/>
    <n v="0"/>
    <n v="0"/>
    <n v="11103"/>
    <n v="0"/>
    <n v="0"/>
    <m/>
    <m/>
    <n v="0"/>
    <n v="0"/>
    <m/>
    <m/>
    <m/>
    <m/>
    <m/>
    <m/>
    <m/>
    <m/>
    <m/>
    <m/>
    <m/>
    <m/>
  </r>
  <r>
    <x v="13"/>
    <s v="Midland College "/>
    <m/>
    <n v="226806"/>
    <x v="11"/>
    <n v="116091"/>
    <n v="125438"/>
    <n v="76871"/>
    <n v="81111"/>
    <n v="2474"/>
    <n v="2678"/>
    <n v="34935"/>
    <n v="1811"/>
    <n v="0"/>
    <n v="40355"/>
    <n v="1294"/>
    <n v="0"/>
    <m/>
    <m/>
    <n v="0"/>
    <n v="0"/>
    <m/>
    <m/>
    <m/>
    <m/>
    <m/>
    <m/>
    <m/>
    <m/>
    <m/>
    <m/>
    <m/>
    <m/>
  </r>
  <r>
    <x v="13"/>
    <s v="South Texas College"/>
    <m/>
    <n v="409315"/>
    <x v="11"/>
    <n v="460037"/>
    <n v="543940"/>
    <n v="407227"/>
    <n v="467854"/>
    <n v="0"/>
    <n v="0"/>
    <n v="52660"/>
    <n v="0"/>
    <n v="150"/>
    <n v="75897"/>
    <n v="0"/>
    <n v="189"/>
    <m/>
    <m/>
    <n v="0"/>
    <n v="0"/>
    <m/>
    <m/>
    <m/>
    <m/>
    <m/>
    <m/>
    <m/>
    <m/>
    <m/>
    <m/>
    <m/>
    <m/>
  </r>
  <r>
    <x v="13"/>
    <s v="Amarillo College "/>
    <m/>
    <n v="222576"/>
    <x v="6"/>
    <n v="190249"/>
    <n v="213375"/>
    <n v="134144"/>
    <n v="145744"/>
    <n v="6082"/>
    <n v="7229"/>
    <n v="44339"/>
    <n v="474"/>
    <n v="5210"/>
    <n v="51591"/>
    <n v="390"/>
    <n v="8421"/>
    <m/>
    <m/>
    <n v="0"/>
    <n v="0"/>
    <m/>
    <m/>
    <m/>
    <m/>
    <m/>
    <m/>
    <m/>
    <m/>
    <m/>
    <m/>
    <m/>
    <m/>
  </r>
  <r>
    <x v="13"/>
    <s v="Austin Community College "/>
    <m/>
    <n v="222992"/>
    <x v="6"/>
    <n v="728939"/>
    <n v="816462"/>
    <n v="580656"/>
    <n v="680276"/>
    <n v="49142"/>
    <n v="48752"/>
    <n v="97041"/>
    <n v="0"/>
    <n v="2100"/>
    <n v="84116"/>
    <n v="0"/>
    <n v="3318"/>
    <m/>
    <m/>
    <n v="0"/>
    <n v="0"/>
    <m/>
    <m/>
    <m/>
    <m/>
    <m/>
    <m/>
    <m/>
    <m/>
    <m/>
    <m/>
    <m/>
    <m/>
  </r>
  <r>
    <x v="13"/>
    <s v="Blinn College "/>
    <m/>
    <n v="223427"/>
    <x v="6"/>
    <n v="372652"/>
    <n v="389577"/>
    <n v="58220"/>
    <n v="59797"/>
    <n v="270782"/>
    <n v="273747"/>
    <n v="43650"/>
    <n v="0"/>
    <n v="0"/>
    <n v="56033"/>
    <n v="0"/>
    <n v="0"/>
    <m/>
    <m/>
    <n v="0"/>
    <n v="0"/>
    <m/>
    <m/>
    <m/>
    <m/>
    <m/>
    <m/>
    <m/>
    <m/>
    <m/>
    <m/>
    <m/>
    <m/>
  </r>
  <r>
    <x v="13"/>
    <s v="Brookhaven College (DCCCD)"/>
    <m/>
    <n v="223524"/>
    <x v="6"/>
    <n v="197873"/>
    <n v="216050"/>
    <n v="150597"/>
    <n v="161260"/>
    <n v="0"/>
    <n v="0"/>
    <n v="47005"/>
    <n v="0"/>
    <n v="271"/>
    <n v="54564"/>
    <n v="0"/>
    <n v="226"/>
    <m/>
    <m/>
    <n v="0"/>
    <n v="0"/>
    <m/>
    <m/>
    <m/>
    <m/>
    <m/>
    <m/>
    <m/>
    <m/>
    <m/>
    <m/>
    <m/>
    <m/>
  </r>
  <r>
    <x v="13"/>
    <s v="Central Texas College "/>
    <m/>
    <n v="223816"/>
    <x v="6"/>
    <n v="274603"/>
    <n v="311862"/>
    <n v="102979"/>
    <n v="114054"/>
    <n v="60596"/>
    <n v="71851"/>
    <n v="109651"/>
    <n v="1002"/>
    <n v="375"/>
    <n v="121892"/>
    <n v="1117"/>
    <n v="2948"/>
    <m/>
    <m/>
    <n v="0"/>
    <n v="0"/>
    <m/>
    <m/>
    <m/>
    <m/>
    <m/>
    <m/>
    <m/>
    <m/>
    <m/>
    <m/>
    <m/>
    <m/>
  </r>
  <r>
    <x v="13"/>
    <s v="Collin County Community College District"/>
    <m/>
    <n v="247834"/>
    <x v="6"/>
    <n v="472245"/>
    <n v="528290"/>
    <n v="425828"/>
    <n v="461806"/>
    <n v="3200"/>
    <n v="3666"/>
    <n v="43068"/>
    <n v="0"/>
    <n v="149"/>
    <n v="61619"/>
    <n v="0"/>
    <n v="1199"/>
    <m/>
    <m/>
    <n v="0"/>
    <n v="0"/>
    <m/>
    <m/>
    <m/>
    <m/>
    <m/>
    <m/>
    <m/>
    <m/>
    <m/>
    <m/>
    <m/>
    <m/>
  </r>
  <r>
    <x v="13"/>
    <s v="Del Mar College "/>
    <m/>
    <n v="224350"/>
    <x v="6"/>
    <n v="221044"/>
    <n v="235688"/>
    <n v="198145"/>
    <n v="211095"/>
    <n v="213"/>
    <n v="2151"/>
    <n v="22686"/>
    <n v="0"/>
    <n v="0"/>
    <n v="22442"/>
    <n v="0"/>
    <n v="0"/>
    <m/>
    <m/>
    <n v="0"/>
    <n v="0"/>
    <m/>
    <m/>
    <m/>
    <m/>
    <m/>
    <m/>
    <m/>
    <m/>
    <m/>
    <m/>
    <m/>
    <m/>
  </r>
  <r>
    <x v="13"/>
    <s v="Eastfield College (DCCCD)"/>
    <m/>
    <n v="224572"/>
    <x v="6"/>
    <n v="196928"/>
    <n v="224080"/>
    <n v="152685"/>
    <n v="171023"/>
    <n v="0"/>
    <n v="0"/>
    <n v="42565"/>
    <n v="0"/>
    <n v="1678"/>
    <n v="52613"/>
    <n v="0"/>
    <n v="444"/>
    <m/>
    <m/>
    <n v="0"/>
    <n v="0"/>
    <m/>
    <m/>
    <m/>
    <m/>
    <m/>
    <m/>
    <m/>
    <m/>
    <m/>
    <m/>
    <m/>
    <m/>
  </r>
  <r>
    <x v="13"/>
    <s v="El Paso County Community College District"/>
    <m/>
    <n v="224642"/>
    <x v="6"/>
    <n v="513685"/>
    <n v="562559"/>
    <n v="473687"/>
    <n v="519506"/>
    <n v="0"/>
    <n v="0"/>
    <n v="31398"/>
    <n v="876"/>
    <n v="7724"/>
    <n v="39987"/>
    <n v="669"/>
    <n v="2397"/>
    <m/>
    <m/>
    <n v="0"/>
    <n v="0"/>
    <m/>
    <m/>
    <m/>
    <m/>
    <m/>
    <m/>
    <m/>
    <m/>
    <m/>
    <m/>
    <m/>
    <m/>
  </r>
  <r>
    <x v="13"/>
    <s v="Houston Community College"/>
    <m/>
    <n v="225423"/>
    <x v="6"/>
    <n v="981244"/>
    <n v="1158629"/>
    <n v="631291"/>
    <n v="730109"/>
    <n v="178566"/>
    <n v="208557"/>
    <n v="170300"/>
    <n v="0"/>
    <n v="1087"/>
    <n v="219483"/>
    <n v="0"/>
    <n v="480"/>
    <m/>
    <m/>
    <n v="0"/>
    <n v="0"/>
    <m/>
    <m/>
    <m/>
    <m/>
    <m/>
    <m/>
    <m/>
    <m/>
    <m/>
    <m/>
    <m/>
    <m/>
  </r>
  <r>
    <x v="13"/>
    <s v="Laredo Community College "/>
    <m/>
    <n v="226134"/>
    <x v="6"/>
    <n v="173580"/>
    <n v="190762"/>
    <n v="149861"/>
    <n v="164637"/>
    <n v="0"/>
    <n v="0"/>
    <n v="23719"/>
    <n v="0"/>
    <n v="0"/>
    <n v="25981"/>
    <n v="144"/>
    <n v="0"/>
    <m/>
    <m/>
    <n v="0"/>
    <n v="0"/>
    <m/>
    <m/>
    <m/>
    <m/>
    <m/>
    <m/>
    <m/>
    <m/>
    <m/>
    <m/>
    <m/>
    <m/>
  </r>
  <r>
    <x v="13"/>
    <s v="Lone Star College System District"/>
    <m/>
    <n v="227182"/>
    <x v="6"/>
    <n v="916488"/>
    <n v="1101211"/>
    <n v="758146"/>
    <n v="897457"/>
    <n v="1960"/>
    <n v="1849"/>
    <n v="152895"/>
    <n v="0"/>
    <n v="3487"/>
    <n v="199783"/>
    <n v="0"/>
    <n v="2122"/>
    <m/>
    <m/>
    <n v="0"/>
    <n v="0"/>
    <m/>
    <m/>
    <m/>
    <m/>
    <m/>
    <m/>
    <m/>
    <m/>
    <m/>
    <m/>
    <m/>
    <m/>
  </r>
  <r>
    <x v="13"/>
    <s v="McLennan Community College "/>
    <m/>
    <n v="226578"/>
    <x v="6"/>
    <n v="190774"/>
    <n v="217294"/>
    <n v="147742"/>
    <n v="162240"/>
    <n v="54"/>
    <n v="15"/>
    <n v="41808"/>
    <n v="1170"/>
    <n v="0"/>
    <n v="54387"/>
    <n v="652"/>
    <n v="0"/>
    <m/>
    <m/>
    <n v="0"/>
    <n v="0"/>
    <m/>
    <m/>
    <m/>
    <m/>
    <m/>
    <m/>
    <m/>
    <m/>
    <m/>
    <m/>
    <m/>
    <m/>
  </r>
  <r>
    <x v="13"/>
    <s v="Navarro College "/>
    <m/>
    <n v="227146"/>
    <x v="6"/>
    <n v="199058"/>
    <n v="233297"/>
    <n v="71510"/>
    <n v="77375"/>
    <n v="77002"/>
    <n v="90051"/>
    <n v="46232"/>
    <n v="0"/>
    <n v="4314"/>
    <n v="61700"/>
    <n v="30"/>
    <n v="4141"/>
    <m/>
    <m/>
    <n v="0"/>
    <n v="0"/>
    <m/>
    <m/>
    <m/>
    <m/>
    <m/>
    <m/>
    <m/>
    <m/>
    <m/>
    <m/>
    <m/>
    <m/>
  </r>
  <r>
    <x v="13"/>
    <s v="North Lake College (DCCCD)"/>
    <m/>
    <n v="227191"/>
    <x v="6"/>
    <n v="194742"/>
    <n v="205951"/>
    <n v="152331"/>
    <n v="154828"/>
    <n v="3053"/>
    <n v="3514"/>
    <n v="38965"/>
    <n v="0"/>
    <n v="393"/>
    <n v="47477"/>
    <n v="0"/>
    <n v="132"/>
    <m/>
    <m/>
    <n v="0"/>
    <n v="0"/>
    <m/>
    <m/>
    <m/>
    <m/>
    <m/>
    <m/>
    <m/>
    <m/>
    <m/>
    <m/>
    <m/>
    <m/>
  </r>
  <r>
    <x v="13"/>
    <s v="Northwest Vista College (ACCD)"/>
    <m/>
    <n v="420398"/>
    <x v="6"/>
    <n v="258060"/>
    <n v="295874"/>
    <n v="237149"/>
    <n v="267567"/>
    <n v="0"/>
    <n v="0"/>
    <n v="20557"/>
    <n v="0"/>
    <n v="354"/>
    <n v="26262"/>
    <n v="0"/>
    <n v="2045"/>
    <m/>
    <m/>
    <n v="0"/>
    <n v="0"/>
    <m/>
    <m/>
    <m/>
    <m/>
    <m/>
    <m/>
    <m/>
    <m/>
    <m/>
    <m/>
    <m/>
    <m/>
  </r>
  <r>
    <x v="13"/>
    <s v="Palo Alto College (ACCD)"/>
    <m/>
    <n v="246354"/>
    <x v="6"/>
    <n v="159901"/>
    <n v="165105"/>
    <n v="130224"/>
    <n v="134898"/>
    <n v="114"/>
    <n v="93"/>
    <n v="26515"/>
    <n v="960"/>
    <n v="2088"/>
    <n v="27177"/>
    <n v="1035"/>
    <n v="1902"/>
    <m/>
    <m/>
    <n v="0"/>
    <n v="0"/>
    <m/>
    <m/>
    <m/>
    <m/>
    <m/>
    <m/>
    <m/>
    <m/>
    <m/>
    <m/>
    <m/>
    <m/>
  </r>
  <r>
    <x v="13"/>
    <s v="Richland College (DCCCD)"/>
    <m/>
    <n v="227766"/>
    <x v="6"/>
    <n v="319106"/>
    <n v="350074"/>
    <n v="245359"/>
    <n v="258961"/>
    <n v="0"/>
    <n v="0"/>
    <n v="73699"/>
    <n v="0"/>
    <n v="48"/>
    <n v="91113"/>
    <n v="0"/>
    <n v="0"/>
    <m/>
    <m/>
    <n v="0"/>
    <n v="0"/>
    <m/>
    <m/>
    <m/>
    <m/>
    <m/>
    <m/>
    <m/>
    <m/>
    <m/>
    <m/>
    <m/>
    <m/>
  </r>
  <r>
    <x v="13"/>
    <s v="San Antonio College (ACCD)"/>
    <m/>
    <n v="227924"/>
    <x v="6"/>
    <n v="469305"/>
    <n v="501465"/>
    <n v="399647"/>
    <n v="428816"/>
    <n v="5565"/>
    <n v="3658"/>
    <n v="61276"/>
    <n v="190"/>
    <n v="2627"/>
    <n v="65514"/>
    <n v="0"/>
    <n v="3477"/>
    <m/>
    <m/>
    <n v="0"/>
    <n v="0"/>
    <m/>
    <m/>
    <m/>
    <m/>
    <m/>
    <m/>
    <m/>
    <m/>
    <m/>
    <m/>
    <m/>
    <m/>
  </r>
  <r>
    <x v="13"/>
    <s v="San Jacinto College"/>
    <m/>
    <n v="227979"/>
    <x v="6"/>
    <n v="523177"/>
    <n v="575097"/>
    <n v="447171"/>
    <n v="489108"/>
    <n v="9791"/>
    <n v="11218"/>
    <n v="65997"/>
    <n v="218"/>
    <n v="0"/>
    <n v="74372"/>
    <n v="399"/>
    <n v="0"/>
    <m/>
    <m/>
    <n v="0"/>
    <n v="0"/>
    <m/>
    <m/>
    <m/>
    <m/>
    <m/>
    <m/>
    <m/>
    <m/>
    <m/>
    <m/>
    <m/>
    <m/>
  </r>
  <r>
    <x v="13"/>
    <s v="South Plains College "/>
    <m/>
    <n v="228158"/>
    <x v="6"/>
    <n v="203280"/>
    <n v="217039"/>
    <n v="89758"/>
    <n v="94485"/>
    <n v="79083"/>
    <n v="84031"/>
    <n v="28958"/>
    <n v="4082"/>
    <n v="1399"/>
    <n v="31816"/>
    <n v="3245"/>
    <n v="3462"/>
    <m/>
    <m/>
    <n v="0"/>
    <n v="0"/>
    <m/>
    <m/>
    <m/>
    <m/>
    <m/>
    <m/>
    <m/>
    <m/>
    <m/>
    <m/>
    <m/>
    <m/>
  </r>
  <r>
    <x v="13"/>
    <s v="St. Philip's College (ACCD)"/>
    <m/>
    <n v="227854"/>
    <x v="6"/>
    <n v="213961"/>
    <n v="218515"/>
    <n v="187535"/>
    <n v="183707"/>
    <n v="2039"/>
    <n v="1414"/>
    <n v="22904"/>
    <n v="0"/>
    <n v="1483"/>
    <n v="31378"/>
    <n v="0"/>
    <n v="2016"/>
    <m/>
    <m/>
    <n v="0"/>
    <n v="0"/>
    <m/>
    <m/>
    <m/>
    <m/>
    <m/>
    <m/>
    <m/>
    <m/>
    <m/>
    <m/>
    <m/>
    <m/>
  </r>
  <r>
    <x v="13"/>
    <s v="Tarrant County College"/>
    <m/>
    <n v="228547"/>
    <x v="6"/>
    <n v="827822"/>
    <n v="968654"/>
    <n v="697953"/>
    <n v="797438"/>
    <n v="165"/>
    <n v="222"/>
    <n v="103707"/>
    <n v="0"/>
    <n v="25997"/>
    <n v="146199"/>
    <n v="0"/>
    <n v="24795"/>
    <m/>
    <m/>
    <n v="0"/>
    <n v="0"/>
    <m/>
    <m/>
    <m/>
    <m/>
    <m/>
    <m/>
    <m/>
    <m/>
    <m/>
    <m/>
    <m/>
    <m/>
  </r>
  <r>
    <x v="13"/>
    <s v="Texas Southmost College "/>
    <m/>
    <n v="229072"/>
    <x v="6"/>
    <n v="181275"/>
    <n v="190606"/>
    <n v="169866"/>
    <n v="178372"/>
    <n v="6017"/>
    <n v="3997"/>
    <n v="5392"/>
    <n v="0"/>
    <n v="0"/>
    <n v="8237"/>
    <n v="0"/>
    <n v="0"/>
    <m/>
    <m/>
    <n v="0"/>
    <n v="0"/>
    <m/>
    <m/>
    <m/>
    <m/>
    <m/>
    <m/>
    <m/>
    <m/>
    <m/>
    <m/>
    <m/>
    <m/>
  </r>
  <r>
    <x v="13"/>
    <s v="Tyler Junior College "/>
    <m/>
    <n v="229355"/>
    <x v="6"/>
    <n v="235827"/>
    <n v="259168"/>
    <n v="190362"/>
    <n v="206336"/>
    <n v="1981"/>
    <n v="0"/>
    <n v="41882"/>
    <n v="0"/>
    <n v="1602"/>
    <n v="51977"/>
    <n v="0"/>
    <n v="855"/>
    <m/>
    <m/>
    <n v="0"/>
    <n v="0"/>
    <m/>
    <m/>
    <m/>
    <m/>
    <m/>
    <m/>
    <m/>
    <m/>
    <m/>
    <m/>
    <m/>
    <m/>
  </r>
  <r>
    <x v="13"/>
    <s v="Alvin Community College "/>
    <m/>
    <n v="222567"/>
    <x v="7"/>
    <n v="100838"/>
    <n v="111467"/>
    <n v="83665"/>
    <n v="93297"/>
    <n v="17173"/>
    <n v="18170"/>
    <n v="0"/>
    <n v="0"/>
    <n v="0"/>
    <n v="0"/>
    <n v="0"/>
    <n v="0"/>
    <m/>
    <m/>
    <n v="0"/>
    <n v="0"/>
    <m/>
    <m/>
    <m/>
    <m/>
    <m/>
    <m/>
    <m/>
    <m/>
    <m/>
    <m/>
    <m/>
    <m/>
  </r>
  <r>
    <x v="13"/>
    <s v="Angelina College "/>
    <m/>
    <n v="222822"/>
    <x v="7"/>
    <n v="100867"/>
    <n v="114278"/>
    <n v="72328"/>
    <n v="79774"/>
    <n v="11534"/>
    <n v="13147"/>
    <n v="10806"/>
    <n v="6199"/>
    <n v="0"/>
    <n v="14636"/>
    <n v="6676"/>
    <n v="45"/>
    <m/>
    <m/>
    <n v="0"/>
    <n v="0"/>
    <m/>
    <m/>
    <m/>
    <m/>
    <m/>
    <m/>
    <m/>
    <m/>
    <m/>
    <m/>
    <m/>
    <m/>
  </r>
  <r>
    <x v="13"/>
    <s v="Cedar Valley College (DCCCD)"/>
    <m/>
    <n v="223773"/>
    <x v="7"/>
    <n v="99997"/>
    <n v="110642"/>
    <n v="65892"/>
    <n v="73303"/>
    <n v="1816"/>
    <n v="1243"/>
    <n v="32196"/>
    <n v="0"/>
    <n v="93"/>
    <n v="36096"/>
    <n v="0"/>
    <n v="0"/>
    <m/>
    <m/>
    <n v="0"/>
    <n v="0"/>
    <m/>
    <m/>
    <m/>
    <m/>
    <m/>
    <m/>
    <m/>
    <m/>
    <m/>
    <m/>
    <m/>
    <m/>
  </r>
  <r>
    <x v="13"/>
    <s v="Cisco Junior College "/>
    <m/>
    <n v="223898"/>
    <x v="7"/>
    <n v="82578"/>
    <n v="95299"/>
    <n v="15905"/>
    <n v="16291"/>
    <n v="49859"/>
    <n v="58548"/>
    <n v="15740"/>
    <n v="1074"/>
    <n v="0"/>
    <n v="19398"/>
    <n v="1062"/>
    <n v="0"/>
    <m/>
    <m/>
    <n v="0"/>
    <n v="0"/>
    <m/>
    <m/>
    <m/>
    <m/>
    <m/>
    <m/>
    <m/>
    <m/>
    <m/>
    <m/>
    <m/>
    <m/>
  </r>
  <r>
    <x v="13"/>
    <s v="Coastal Bend College"/>
    <m/>
    <n v="223320"/>
    <x v="7"/>
    <n v="77041"/>
    <n v="85421"/>
    <n v="25283"/>
    <n v="25762"/>
    <n v="33817"/>
    <n v="38577"/>
    <n v="10575"/>
    <n v="5915"/>
    <n v="1451"/>
    <n v="13890"/>
    <n v="5669"/>
    <n v="1523"/>
    <m/>
    <m/>
    <n v="0"/>
    <n v="0"/>
    <m/>
    <m/>
    <m/>
    <m/>
    <m/>
    <m/>
    <m/>
    <m/>
    <m/>
    <m/>
    <m/>
    <m/>
  </r>
  <r>
    <x v="13"/>
    <s v="College of the Mainland"/>
    <m/>
    <n v="226408"/>
    <x v="7"/>
    <n v="77570"/>
    <n v="87748"/>
    <n v="72622"/>
    <n v="81099"/>
    <n v="4948"/>
    <n v="6649"/>
    <n v="0"/>
    <n v="0"/>
    <n v="0"/>
    <n v="0"/>
    <n v="0"/>
    <n v="0"/>
    <m/>
    <m/>
    <n v="0"/>
    <n v="0"/>
    <m/>
    <m/>
    <m/>
    <m/>
    <m/>
    <m/>
    <m/>
    <m/>
    <m/>
    <m/>
    <m/>
    <m/>
  </r>
  <r>
    <x v="13"/>
    <s v="El Centro College  (DCCCD)"/>
    <s v="Reclassified: Met criteria for Two-Year 1 in 2008-09, 2009-10 and 2010-11."/>
    <n v="224615"/>
    <x v="6"/>
    <n v="147601"/>
    <n v="171269"/>
    <n v="115943"/>
    <n v="131698"/>
    <n v="0"/>
    <n v="0"/>
    <n v="31298"/>
    <n v="0"/>
    <n v="360"/>
    <n v="39280"/>
    <n v="0"/>
    <n v="291"/>
    <m/>
    <m/>
    <n v="0"/>
    <n v="0"/>
    <m/>
    <m/>
    <m/>
    <m/>
    <m/>
    <m/>
    <m/>
    <m/>
    <m/>
    <m/>
    <m/>
    <m/>
  </r>
  <r>
    <x v="13"/>
    <s v="Grayson County College "/>
    <m/>
    <n v="225070"/>
    <x v="7"/>
    <n v="99227"/>
    <n v="111874"/>
    <n v="74740"/>
    <n v="82611"/>
    <n v="457"/>
    <n v="730"/>
    <n v="22464"/>
    <n v="0"/>
    <n v="1566"/>
    <n v="26745"/>
    <n v="0"/>
    <n v="1788"/>
    <m/>
    <m/>
    <n v="0"/>
    <n v="0"/>
    <m/>
    <m/>
    <m/>
    <m/>
    <m/>
    <m/>
    <m/>
    <m/>
    <m/>
    <m/>
    <m/>
    <m/>
  </r>
  <r>
    <x v="13"/>
    <s v="Hill College"/>
    <m/>
    <n v="225371"/>
    <x v="7"/>
    <n v="85677"/>
    <n v="98493"/>
    <n v="17698"/>
    <n v="19574"/>
    <n v="41183"/>
    <n v="45049"/>
    <n v="25204"/>
    <n v="1592"/>
    <n v="0"/>
    <n v="31491"/>
    <n v="2379"/>
    <n v="0"/>
    <m/>
    <m/>
    <n v="0"/>
    <n v="0"/>
    <m/>
    <m/>
    <m/>
    <m/>
    <m/>
    <m/>
    <m/>
    <m/>
    <m/>
    <m/>
    <m/>
    <m/>
  </r>
  <r>
    <x v="13"/>
    <s v="Howard College (HCJCD)"/>
    <m/>
    <n v="225520"/>
    <x v="7"/>
    <n v="70754"/>
    <n v="82912"/>
    <n v="22145"/>
    <n v="21725"/>
    <n v="33269"/>
    <n v="39096"/>
    <n v="14050"/>
    <n v="1197"/>
    <n v="93"/>
    <n v="18986"/>
    <n v="3027"/>
    <n v="78"/>
    <m/>
    <m/>
    <n v="0"/>
    <n v="0"/>
    <m/>
    <m/>
    <m/>
    <m/>
    <m/>
    <m/>
    <m/>
    <m/>
    <m/>
    <m/>
    <m/>
    <m/>
  </r>
  <r>
    <x v="13"/>
    <s v="Kilgore College "/>
    <s v="Met criteria for Two-Year 1 in 2009-10 and 2010-11."/>
    <n v="226019"/>
    <x v="7"/>
    <n v="128654"/>
    <n v="146522"/>
    <n v="82175"/>
    <n v="91390"/>
    <n v="31539"/>
    <n v="35507"/>
    <n v="14251"/>
    <n v="575"/>
    <n v="114"/>
    <n v="18361"/>
    <n v="1264"/>
    <n v="0"/>
    <m/>
    <m/>
    <n v="0"/>
    <n v="0"/>
    <m/>
    <m/>
    <m/>
    <m/>
    <m/>
    <m/>
    <m/>
    <m/>
    <m/>
    <m/>
    <m/>
    <m/>
  </r>
  <r>
    <x v="13"/>
    <s v="Lamar Institute of Technology"/>
    <m/>
    <n v="441760"/>
    <x v="7"/>
    <n v="67264"/>
    <n v="67440"/>
    <n v="61378"/>
    <n v="60976"/>
    <n v="0"/>
    <n v="2280"/>
    <n v="4786"/>
    <n v="0"/>
    <n v="1100"/>
    <n v="4109"/>
    <n v="75"/>
    <n v="0"/>
    <m/>
    <m/>
    <n v="0"/>
    <n v="0"/>
    <m/>
    <m/>
    <m/>
    <m/>
    <m/>
    <m/>
    <m/>
    <m/>
    <m/>
    <m/>
    <m/>
    <m/>
  </r>
  <r>
    <x v="13"/>
    <s v="Lee College "/>
    <m/>
    <n v="226204"/>
    <x v="7"/>
    <n v="133448"/>
    <n v="143743"/>
    <n v="105915"/>
    <n v="112426"/>
    <n v="22172"/>
    <n v="20242"/>
    <n v="695"/>
    <n v="0"/>
    <n v="4666"/>
    <n v="6297"/>
    <n v="0"/>
    <n v="4778"/>
    <m/>
    <m/>
    <n v="0"/>
    <n v="0"/>
    <m/>
    <m/>
    <m/>
    <m/>
    <m/>
    <m/>
    <m/>
    <m/>
    <m/>
    <m/>
    <m/>
    <m/>
  </r>
  <r>
    <x v="13"/>
    <s v="Mountain View College  (DCCCD)"/>
    <s v="Met the criteria for Two-Year 1 in 2010-11."/>
    <n v="226930"/>
    <x v="7"/>
    <n v="133562"/>
    <n v="146353"/>
    <n v="108960"/>
    <n v="115141"/>
    <n v="0"/>
    <n v="0"/>
    <n v="24602"/>
    <n v="0"/>
    <n v="0"/>
    <n v="31212"/>
    <n v="0"/>
    <n v="0"/>
    <m/>
    <m/>
    <n v="0"/>
    <n v="0"/>
    <m/>
    <m/>
    <m/>
    <m/>
    <m/>
    <m/>
    <m/>
    <m/>
    <m/>
    <m/>
    <m/>
    <m/>
  </r>
  <r>
    <x v="13"/>
    <s v="North Central Texas Community College"/>
    <s v="Reclassified: Met criteria for Two-Year 1 in 2008-09, 2009-10 and 2010-11."/>
    <n v="224110"/>
    <x v="6"/>
    <n v="167202"/>
    <n v="177108"/>
    <n v="32015"/>
    <n v="32443"/>
    <n v="112004"/>
    <n v="115132"/>
    <n v="22272"/>
    <n v="111"/>
    <n v="800"/>
    <n v="28266"/>
    <n v="219"/>
    <n v="1048"/>
    <m/>
    <m/>
    <n v="0"/>
    <n v="0"/>
    <m/>
    <m/>
    <m/>
    <m/>
    <m/>
    <m/>
    <m/>
    <m/>
    <m/>
    <m/>
    <m/>
    <m/>
  </r>
  <r>
    <x v="13"/>
    <s v="Odessa College "/>
    <m/>
    <n v="227304"/>
    <x v="7"/>
    <n v="92478"/>
    <n v="100803"/>
    <n v="60233"/>
    <n v="64766"/>
    <n v="6620"/>
    <n v="6608"/>
    <n v="25625"/>
    <n v="0"/>
    <n v="0"/>
    <n v="29429"/>
    <n v="0"/>
    <n v="0"/>
    <m/>
    <m/>
    <n v="0"/>
    <n v="0"/>
    <m/>
    <m/>
    <m/>
    <m/>
    <m/>
    <m/>
    <m/>
    <m/>
    <m/>
    <m/>
    <m/>
    <m/>
  </r>
  <r>
    <x v="13"/>
    <s v="Paris Junior College"/>
    <m/>
    <n v="227401"/>
    <x v="7"/>
    <n v="110247"/>
    <n v="131831"/>
    <n v="48291"/>
    <n v="54350"/>
    <n v="38124"/>
    <n v="43436"/>
    <n v="20564"/>
    <n v="3268"/>
    <n v="0"/>
    <n v="30541"/>
    <n v="3504"/>
    <n v="0"/>
    <m/>
    <m/>
    <n v="0"/>
    <n v="0"/>
    <m/>
    <m/>
    <m/>
    <m/>
    <m/>
    <m/>
    <m/>
    <m/>
    <m/>
    <m/>
    <m/>
    <m/>
  </r>
  <r>
    <x v="13"/>
    <s v="Southwest Texas Junior College "/>
    <m/>
    <n v="228316"/>
    <x v="7"/>
    <n v="105519"/>
    <n v="118563"/>
    <n v="30618"/>
    <n v="34470"/>
    <n v="49850"/>
    <n v="55135"/>
    <n v="7217"/>
    <n v="17834"/>
    <n v="0"/>
    <n v="9453"/>
    <n v="19505"/>
    <n v="0"/>
    <m/>
    <m/>
    <n v="0"/>
    <n v="0"/>
    <m/>
    <m/>
    <m/>
    <m/>
    <m/>
    <m/>
    <m/>
    <m/>
    <m/>
    <m/>
    <m/>
    <m/>
  </r>
  <r>
    <x v="13"/>
    <s v="Temple College "/>
    <m/>
    <n v="228608"/>
    <x v="7"/>
    <n v="110003"/>
    <n v="122171"/>
    <n v="67638"/>
    <n v="72437"/>
    <n v="17364"/>
    <n v="19413"/>
    <n v="25001"/>
    <n v="0"/>
    <n v="0"/>
    <n v="30309"/>
    <n v="12"/>
    <n v="0"/>
    <m/>
    <m/>
    <n v="0"/>
    <n v="0"/>
    <m/>
    <m/>
    <m/>
    <m/>
    <m/>
    <m/>
    <m/>
    <m/>
    <m/>
    <m/>
    <m/>
    <m/>
  </r>
  <r>
    <x v="13"/>
    <s v="Texarkana College "/>
    <m/>
    <n v="228699"/>
    <x v="7"/>
    <n v="96045"/>
    <n v="94976"/>
    <n v="81206"/>
    <n v="79221"/>
    <n v="8843"/>
    <n v="9444"/>
    <n v="5951"/>
    <n v="45"/>
    <n v="0"/>
    <n v="6263"/>
    <n v="45"/>
    <n v="3"/>
    <m/>
    <m/>
    <n v="0"/>
    <n v="0"/>
    <m/>
    <m/>
    <m/>
    <m/>
    <m/>
    <m/>
    <m/>
    <m/>
    <m/>
    <m/>
    <m/>
    <m/>
  </r>
  <r>
    <x v="13"/>
    <s v="Texas State Technical College-Harlingen "/>
    <m/>
    <n v="229319"/>
    <x v="7"/>
    <n v="125124"/>
    <n v="136009"/>
    <n v="105520"/>
    <n v="118614"/>
    <n v="8945"/>
    <n v="5614"/>
    <n v="8724"/>
    <n v="1935"/>
    <n v="0"/>
    <n v="10659"/>
    <n v="1122"/>
    <n v="0"/>
    <m/>
    <m/>
    <n v="0"/>
    <n v="0"/>
    <m/>
    <m/>
    <m/>
    <m/>
    <m/>
    <m/>
    <m/>
    <m/>
    <m/>
    <m/>
    <m/>
    <m/>
  </r>
  <r>
    <x v="13"/>
    <s v="Texas State Technical College-Waco"/>
    <s v="Met criteria for Two-Year 1 in 2009-10 and 2010-11."/>
    <n v="228680"/>
    <x v="7"/>
    <n v="149225"/>
    <n v="163434"/>
    <n v="127340"/>
    <n v="143272"/>
    <n v="15446"/>
    <n v="8499"/>
    <n v="6409"/>
    <n v="0"/>
    <n v="30"/>
    <n v="11663"/>
    <n v="0"/>
    <n v="0"/>
    <m/>
    <m/>
    <n v="0"/>
    <n v="0"/>
    <m/>
    <m/>
    <m/>
    <m/>
    <m/>
    <m/>
    <m/>
    <m/>
    <m/>
    <m/>
    <m/>
    <m/>
  </r>
  <r>
    <x v="13"/>
    <s v="Trinity Valley Community College"/>
    <s v="Met criteria for Two-Year 1 in 2009-10 and 2010-11."/>
    <n v="225308"/>
    <x v="7"/>
    <n v="144332"/>
    <n v="166114"/>
    <n v="84464"/>
    <n v="94853"/>
    <n v="36797"/>
    <n v="43587"/>
    <n v="20923"/>
    <n v="2148"/>
    <n v="0"/>
    <n v="26840"/>
    <n v="834"/>
    <n v="0"/>
    <m/>
    <m/>
    <n v="0"/>
    <n v="0"/>
    <m/>
    <m/>
    <m/>
    <m/>
    <m/>
    <m/>
    <m/>
    <m/>
    <m/>
    <m/>
    <m/>
    <m/>
  </r>
  <r>
    <x v="13"/>
    <s v="Vernon College "/>
    <m/>
    <n v="229504"/>
    <x v="7"/>
    <n v="63948"/>
    <n v="67813"/>
    <n v="8763"/>
    <n v="9311"/>
    <n v="29946"/>
    <n v="31700"/>
    <n v="18289"/>
    <n v="6950"/>
    <n v="0"/>
    <n v="20532"/>
    <n v="6270"/>
    <n v="0"/>
    <m/>
    <m/>
    <n v="0"/>
    <n v="0"/>
    <m/>
    <m/>
    <m/>
    <m/>
    <m/>
    <m/>
    <m/>
    <m/>
    <m/>
    <m/>
    <m/>
    <m/>
  </r>
  <r>
    <x v="13"/>
    <s v="Victoria College "/>
    <m/>
    <n v="229540"/>
    <x v="7"/>
    <n v="75188"/>
    <n v="81880"/>
    <n v="48298"/>
    <n v="55839"/>
    <n v="5643"/>
    <n v="5672"/>
    <n v="18155"/>
    <n v="3092"/>
    <n v="0"/>
    <n v="16617"/>
    <n v="3752"/>
    <n v="0"/>
    <m/>
    <m/>
    <n v="0"/>
    <n v="0"/>
    <m/>
    <m/>
    <m/>
    <m/>
    <m/>
    <m/>
    <m/>
    <m/>
    <m/>
    <m/>
    <m/>
    <m/>
  </r>
  <r>
    <x v="13"/>
    <s v="Weatherford College "/>
    <m/>
    <n v="229799"/>
    <x v="7"/>
    <n v="105461"/>
    <n v="116501"/>
    <n v="77932"/>
    <n v="83333"/>
    <n v="10840"/>
    <n v="12257"/>
    <n v="14976"/>
    <n v="1713"/>
    <n v="0"/>
    <n v="20575"/>
    <n v="336"/>
    <n v="0"/>
    <m/>
    <m/>
    <n v="0"/>
    <n v="0"/>
    <m/>
    <m/>
    <m/>
    <m/>
    <m/>
    <m/>
    <m/>
    <m/>
    <m/>
    <m/>
    <m/>
    <m/>
  </r>
  <r>
    <x v="13"/>
    <s v="Wharton County Junior College "/>
    <m/>
    <n v="229841"/>
    <x v="7"/>
    <n v="131186"/>
    <n v="145528"/>
    <n v="42637"/>
    <n v="48270"/>
    <n v="70062"/>
    <n v="75606"/>
    <n v="15438"/>
    <n v="3049"/>
    <n v="0"/>
    <n v="18772"/>
    <n v="2880"/>
    <n v="0"/>
    <m/>
    <m/>
    <n v="0"/>
    <n v="0"/>
    <m/>
    <m/>
    <m/>
    <m/>
    <m/>
    <m/>
    <m/>
    <m/>
    <m/>
    <m/>
    <m/>
    <m/>
  </r>
  <r>
    <x v="13"/>
    <s v="Clarendon College "/>
    <m/>
    <n v="223922"/>
    <x v="8"/>
    <n v="30286"/>
    <n v="35116"/>
    <n v="11333"/>
    <n v="11447"/>
    <n v="12520"/>
    <n v="14515"/>
    <n v="6000"/>
    <n v="425"/>
    <n v="8"/>
    <n v="8487"/>
    <n v="654"/>
    <n v="13"/>
    <m/>
    <m/>
    <n v="0"/>
    <n v="0"/>
    <m/>
    <m/>
    <m/>
    <m/>
    <m/>
    <m/>
    <m/>
    <m/>
    <m/>
    <m/>
    <m/>
    <m/>
  </r>
  <r>
    <x v="13"/>
    <s v="Frank Phillips College "/>
    <m/>
    <n v="224891"/>
    <x v="8"/>
    <n v="24940"/>
    <n v="25567"/>
    <n v="17703"/>
    <n v="19199"/>
    <n v="1405"/>
    <n v="1479"/>
    <n v="2440"/>
    <n v="0"/>
    <n v="3392"/>
    <n v="1989"/>
    <n v="0"/>
    <n v="2900"/>
    <m/>
    <m/>
    <n v="0"/>
    <n v="0"/>
    <m/>
    <m/>
    <m/>
    <m/>
    <m/>
    <m/>
    <m/>
    <m/>
    <m/>
    <m/>
    <m/>
    <m/>
  </r>
  <r>
    <x v="13"/>
    <s v="Galveston College "/>
    <m/>
    <n v="224961"/>
    <x v="8"/>
    <n v="39651"/>
    <n v="46278"/>
    <n v="39286"/>
    <n v="45591"/>
    <n v="0"/>
    <n v="305"/>
    <n v="365"/>
    <n v="0"/>
    <n v="0"/>
    <n v="382"/>
    <n v="0"/>
    <n v="0"/>
    <m/>
    <m/>
    <n v="0"/>
    <n v="0"/>
    <m/>
    <m/>
    <m/>
    <m/>
    <m/>
    <m/>
    <m/>
    <m/>
    <m/>
    <m/>
    <m/>
    <m/>
  </r>
  <r>
    <x v="13"/>
    <s v="Lamar State College-Orange"/>
    <m/>
    <n v="226107"/>
    <x v="8"/>
    <n v="44460"/>
    <n v="53594"/>
    <n v="38320"/>
    <n v="47495"/>
    <n v="1656"/>
    <n v="0"/>
    <n v="4484"/>
    <n v="0"/>
    <n v="0"/>
    <n v="6099"/>
    <n v="0"/>
    <n v="0"/>
    <m/>
    <m/>
    <n v="0"/>
    <n v="0"/>
    <m/>
    <m/>
    <m/>
    <m/>
    <m/>
    <m/>
    <m/>
    <m/>
    <m/>
    <m/>
    <m/>
    <m/>
  </r>
  <r>
    <x v="13"/>
    <s v="Lamar State College-Port Arthur"/>
    <s v="Met the criteria for Two-Year 2 in 2010-11."/>
    <n v="226116"/>
    <x v="8"/>
    <n v="43158"/>
    <n v="50934"/>
    <n v="34484"/>
    <n v="40162"/>
    <n v="5537"/>
    <n v="5413"/>
    <n v="3137"/>
    <n v="0"/>
    <n v="0"/>
    <n v="5359"/>
    <n v="0"/>
    <n v="0"/>
    <m/>
    <m/>
    <n v="0"/>
    <n v="0"/>
    <m/>
    <m/>
    <m/>
    <m/>
    <m/>
    <m/>
    <m/>
    <m/>
    <m/>
    <m/>
    <m/>
    <m/>
  </r>
  <r>
    <x v="13"/>
    <s v="Northeast Lakeview College (ACCD)"/>
    <m/>
    <n v="222992"/>
    <x v="8"/>
    <n v="10161"/>
    <n v="13983"/>
    <n v="9643"/>
    <n v="13281"/>
    <n v="0"/>
    <n v="0"/>
    <n v="518"/>
    <n v="0"/>
    <n v="0"/>
    <n v="702"/>
    <n v="0"/>
    <n v="0"/>
    <m/>
    <m/>
    <n v="0"/>
    <n v="0"/>
    <m/>
    <m/>
    <m/>
    <m/>
    <m/>
    <m/>
    <m/>
    <m/>
    <m/>
    <m/>
    <m/>
    <m/>
  </r>
  <r>
    <x v="13"/>
    <s v="Northeast Texas Community College "/>
    <s v="Met criteria for Two-Year 2 in 2009-10 and 2010-11."/>
    <n v="227225"/>
    <x v="8"/>
    <n v="59189"/>
    <n v="69750"/>
    <n v="50054"/>
    <n v="58103"/>
    <n v="927"/>
    <n v="1080"/>
    <n v="8193"/>
    <n v="15"/>
    <n v="0"/>
    <n v="10420"/>
    <n v="54"/>
    <n v="93"/>
    <m/>
    <m/>
    <n v="0"/>
    <n v="0"/>
    <m/>
    <m/>
    <m/>
    <m/>
    <m/>
    <m/>
    <m/>
    <m/>
    <m/>
    <m/>
    <m/>
    <m/>
  </r>
  <r>
    <x v="13"/>
    <s v="Panola College"/>
    <m/>
    <n v="227386"/>
    <x v="8"/>
    <n v="43235"/>
    <n v="47697"/>
    <n v="23627"/>
    <n v="25964"/>
    <n v="7830"/>
    <n v="8198"/>
    <n v="10650"/>
    <n v="1128"/>
    <n v="0"/>
    <n v="12025"/>
    <n v="1510"/>
    <n v="0"/>
    <m/>
    <m/>
    <n v="0"/>
    <n v="0"/>
    <m/>
    <m/>
    <m/>
    <m/>
    <m/>
    <m/>
    <m/>
    <m/>
    <m/>
    <m/>
    <m/>
    <m/>
  </r>
  <r>
    <x v="13"/>
    <s v="Ranger College "/>
    <m/>
    <n v="227687"/>
    <x v="8"/>
    <n v="18727"/>
    <n v="26592"/>
    <n v="10677"/>
    <n v="11005"/>
    <n v="6710"/>
    <n v="10096"/>
    <n v="806"/>
    <n v="534"/>
    <n v="0"/>
    <n v="3932"/>
    <n v="1493"/>
    <n v="66"/>
    <m/>
    <m/>
    <n v="0"/>
    <n v="0"/>
    <m/>
    <m/>
    <m/>
    <m/>
    <m/>
    <m/>
    <m/>
    <m/>
    <m/>
    <m/>
    <m/>
    <m/>
  </r>
  <r>
    <x v="13"/>
    <s v="Southwest Collegiate Institute for the Deaf (HCJCD)"/>
    <m/>
    <n v="382911"/>
    <x v="8"/>
    <n v="2141"/>
    <n v="2067"/>
    <n v="2135"/>
    <n v="2004"/>
    <n v="6"/>
    <n v="0"/>
    <n v="0"/>
    <n v="0"/>
    <n v="0"/>
    <n v="45"/>
    <n v="0"/>
    <n v="18"/>
    <m/>
    <m/>
    <n v="0"/>
    <n v="0"/>
    <m/>
    <m/>
    <m/>
    <m/>
    <m/>
    <m/>
    <m/>
    <m/>
    <m/>
    <m/>
    <m/>
    <m/>
  </r>
  <r>
    <x v="13"/>
    <s v="Texas State Technical College-Marshall"/>
    <m/>
    <n v="408394"/>
    <x v="8"/>
    <n v="21188"/>
    <n v="23775"/>
    <n v="12860"/>
    <n v="15272"/>
    <n v="1566"/>
    <n v="1222"/>
    <n v="6762"/>
    <n v="0"/>
    <n v="0"/>
    <n v="7281"/>
    <n v="0"/>
    <n v="0"/>
    <m/>
    <m/>
    <n v="0"/>
    <n v="0"/>
    <m/>
    <m/>
    <m/>
    <m/>
    <m/>
    <m/>
    <m/>
    <m/>
    <m/>
    <m/>
    <m/>
    <m/>
  </r>
  <r>
    <x v="13"/>
    <s v="Texas State Technical College-West Texas"/>
    <m/>
    <n v="229328"/>
    <x v="8"/>
    <n v="43840"/>
    <n v="38675"/>
    <n v="9456"/>
    <n v="11530"/>
    <n v="11164"/>
    <n v="8032"/>
    <n v="21348"/>
    <n v="1035"/>
    <n v="837"/>
    <n v="19104"/>
    <n v="9"/>
    <n v="0"/>
    <m/>
    <m/>
    <n v="0"/>
    <n v="0"/>
    <m/>
    <m/>
    <m/>
    <m/>
    <m/>
    <m/>
    <m/>
    <m/>
    <m/>
    <m/>
    <m/>
    <m/>
  </r>
  <r>
    <x v="13"/>
    <s v="Western Texas College "/>
    <m/>
    <n v="229832"/>
    <x v="8"/>
    <n v="45714"/>
    <n v="47076"/>
    <n v="12706"/>
    <n v="12932"/>
    <n v="8672"/>
    <n v="8828"/>
    <n v="19287"/>
    <n v="4668"/>
    <n v="381"/>
    <n v="19628"/>
    <n v="5592"/>
    <n v="96"/>
    <m/>
    <m/>
    <n v="0"/>
    <n v="0"/>
    <m/>
    <m/>
    <m/>
    <m/>
    <m/>
    <m/>
    <m/>
    <m/>
    <m/>
    <m/>
    <m/>
    <m/>
  </r>
  <r>
    <x v="13"/>
    <s v="Texas A &amp; M University - Central Texas"/>
    <s v="New fall 2009. Met the criteria for Four-Year 4 in 2010-11."/>
    <m/>
    <x v="12"/>
    <n v="9877"/>
    <n v="31104"/>
    <n v="0"/>
    <n v="19069"/>
    <n v="8383"/>
    <n v="2718"/>
    <n v="1281"/>
    <n v="213"/>
    <n v="0"/>
    <n v="8919"/>
    <n v="398"/>
    <n v="0"/>
    <m/>
    <m/>
    <n v="3560"/>
    <n v="12184"/>
    <n v="0"/>
    <n v="9961"/>
    <n v="3467"/>
    <n v="264"/>
    <n v="93"/>
    <n v="0"/>
    <n v="0"/>
    <n v="1959"/>
    <n v="0"/>
    <n v="0"/>
    <m/>
    <m/>
  </r>
  <r>
    <x v="13"/>
    <s v="Texas A &amp; M University - San Antonio"/>
    <s v="New fall 2009. Met the criteria for Four-Year 5 in 2010-11."/>
    <s v="870501"/>
    <x v="12"/>
    <n v="16090"/>
    <n v="46866"/>
    <n v="15973"/>
    <n v="45537"/>
    <n v="0"/>
    <n v="306"/>
    <n v="108"/>
    <n v="9"/>
    <n v="0"/>
    <n v="1023"/>
    <n v="0"/>
    <n v="0"/>
    <m/>
    <m/>
    <n v="3913"/>
    <n v="12635"/>
    <n v="3913"/>
    <n v="12463"/>
    <n v="0"/>
    <n v="0"/>
    <n v="0"/>
    <n v="0"/>
    <n v="0"/>
    <n v="172"/>
    <n v="0"/>
    <n v="0"/>
    <m/>
    <m/>
  </r>
  <r>
    <x v="13"/>
    <s v="University of North Texas at Dallas"/>
    <s v="New fall 2009. No degrees yet granted."/>
    <m/>
    <x v="12"/>
    <n v="12575"/>
    <n v="27801"/>
    <n v="12179"/>
    <n v="27657"/>
    <n v="396"/>
    <n v="144"/>
    <n v="0"/>
    <n v="0"/>
    <n v="0"/>
    <n v="0"/>
    <n v="0"/>
    <n v="0"/>
    <m/>
    <m/>
    <n v="1704"/>
    <n v="4498"/>
    <n v="1428"/>
    <n v="4090"/>
    <n v="237"/>
    <n v="312"/>
    <n v="0"/>
    <n v="39"/>
    <n v="0"/>
    <n v="0"/>
    <n v="96"/>
    <n v="0"/>
    <m/>
    <m/>
  </r>
  <r>
    <x v="14"/>
    <s v="George Mason University "/>
    <m/>
    <n v="232186"/>
    <x v="0"/>
    <n v="0"/>
    <n v="546706.5"/>
    <m/>
    <n v="521158"/>
    <m/>
    <n v="11373.5"/>
    <m/>
    <m/>
    <m/>
    <n v="13560"/>
    <n v="615"/>
    <n v="0"/>
    <m/>
    <m/>
    <n v="0"/>
    <n v="170127.99999999889"/>
    <m/>
    <n v="136925.399999999"/>
    <m/>
    <n v="23855.5999999999"/>
    <m/>
    <m/>
    <m/>
    <n v="7947.5"/>
    <n v="1399.5"/>
    <n v="0"/>
    <m/>
    <n v="0"/>
  </r>
  <r>
    <x v="14"/>
    <s v="Old Dominion University "/>
    <m/>
    <n v="232982"/>
    <x v="0"/>
    <n v="0"/>
    <n v="484643"/>
    <m/>
    <n v="424035"/>
    <m/>
    <n v="423"/>
    <m/>
    <m/>
    <m/>
    <n v="25379"/>
    <n v="34806"/>
    <n v="0"/>
    <m/>
    <m/>
    <n v="0"/>
    <n v="78185"/>
    <m/>
    <n v="53943"/>
    <m/>
    <n v="1906"/>
    <m/>
    <m/>
    <m/>
    <n v="10525"/>
    <n v="11811"/>
    <n v="0"/>
    <m/>
    <n v="0"/>
  </r>
  <r>
    <x v="14"/>
    <s v="University of Virginia"/>
    <m/>
    <n v="234076"/>
    <x v="0"/>
    <n v="0"/>
    <n v="462973"/>
    <m/>
    <n v="418800"/>
    <m/>
    <n v="41409"/>
    <m/>
    <m/>
    <m/>
    <n v="2764"/>
    <n v="0"/>
    <n v="0"/>
    <m/>
    <m/>
    <n v="0"/>
    <n v="202178.899999999"/>
    <m/>
    <n v="172639.899999999"/>
    <m/>
    <n v="20521"/>
    <m/>
    <m/>
    <m/>
    <n v="8112"/>
    <n v="906"/>
    <n v="0"/>
    <m/>
    <n v="0"/>
  </r>
  <r>
    <x v="14"/>
    <s v="Virginia Tech "/>
    <m/>
    <n v="233921"/>
    <x v="0"/>
    <n v="0"/>
    <n v="745331"/>
    <m/>
    <n v="735345"/>
    <m/>
    <n v="398"/>
    <m/>
    <m/>
    <m/>
    <n v="8610"/>
    <n v="978"/>
    <n v="0"/>
    <m/>
    <m/>
    <n v="0"/>
    <n v="145263"/>
    <m/>
    <n v="109969"/>
    <m/>
    <n v="20486"/>
    <m/>
    <m/>
    <m/>
    <n v="10227"/>
    <n v="4581"/>
    <n v="0"/>
    <m/>
    <n v="0"/>
  </r>
  <r>
    <x v="14"/>
    <s v="College of William &amp; Mary"/>
    <m/>
    <n v="231624"/>
    <x v="1"/>
    <n v="0"/>
    <n v="169436.5"/>
    <m/>
    <n v="168765.5"/>
    <m/>
    <n v="671"/>
    <m/>
    <m/>
    <m/>
    <n v="0"/>
    <n v="0"/>
    <n v="0"/>
    <m/>
    <m/>
    <n v="0"/>
    <n v="54173"/>
    <m/>
    <n v="50819"/>
    <m/>
    <n v="3354"/>
    <m/>
    <m/>
    <m/>
    <n v="0"/>
    <n v="0"/>
    <n v="0"/>
    <m/>
    <n v="0"/>
  </r>
  <r>
    <x v="14"/>
    <s v="Virginia Commonwealth University"/>
    <m/>
    <n v="234030"/>
    <x v="1"/>
    <n v="0"/>
    <n v="648362.5"/>
    <m/>
    <n v="624894.5"/>
    <m/>
    <n v="7888"/>
    <m/>
    <m/>
    <m/>
    <n v="15580"/>
    <n v="0"/>
    <n v="0"/>
    <m/>
    <m/>
    <n v="0"/>
    <n v="146465.5"/>
    <m/>
    <n v="121330.5"/>
    <m/>
    <n v="17085"/>
    <m/>
    <m/>
    <m/>
    <n v="8050"/>
    <n v="0"/>
    <n v="0"/>
    <m/>
    <n v="0"/>
  </r>
  <r>
    <x v="14"/>
    <s v="James Madison University"/>
    <m/>
    <n v="232423"/>
    <x v="2"/>
    <n v="0"/>
    <n v="522097"/>
    <m/>
    <n v="505528"/>
    <m/>
    <n v="7300"/>
    <m/>
    <m/>
    <m/>
    <n v="9269"/>
    <n v="0"/>
    <n v="0"/>
    <m/>
    <m/>
    <n v="0"/>
    <n v="32972"/>
    <m/>
    <n v="26752"/>
    <m/>
    <n v="2910"/>
    <m/>
    <m/>
    <m/>
    <n v="3300"/>
    <n v="10"/>
    <n v="0"/>
    <m/>
    <n v="0"/>
  </r>
  <r>
    <x v="14"/>
    <s v="Norfolk State University "/>
    <m/>
    <n v="232937"/>
    <x v="2"/>
    <n v="0"/>
    <n v="145531"/>
    <m/>
    <n v="136041"/>
    <m/>
    <n v="0"/>
    <m/>
    <m/>
    <m/>
    <n v="9490"/>
    <n v="0"/>
    <n v="0"/>
    <m/>
    <m/>
    <n v="0"/>
    <n v="12457"/>
    <m/>
    <n v="11578"/>
    <m/>
    <n v="0"/>
    <m/>
    <m/>
    <m/>
    <n v="879"/>
    <n v="0"/>
    <n v="0"/>
    <m/>
    <n v="0"/>
  </r>
  <r>
    <x v="14"/>
    <s v="Radford University"/>
    <m/>
    <n v="233277"/>
    <x v="3"/>
    <n v="0"/>
    <n v="235610"/>
    <m/>
    <n v="227686"/>
    <m/>
    <n v="5953"/>
    <m/>
    <m/>
    <m/>
    <n v="1257"/>
    <n v="714"/>
    <n v="0"/>
    <m/>
    <m/>
    <n v="0"/>
    <n v="19948"/>
    <m/>
    <n v="15503"/>
    <m/>
    <n v="3207"/>
    <m/>
    <m/>
    <m/>
    <n v="317"/>
    <n v="921"/>
    <n v="0"/>
    <m/>
    <n v="0"/>
  </r>
  <r>
    <x v="14"/>
    <s v="Virginia State University "/>
    <m/>
    <n v="234155"/>
    <x v="3"/>
    <n v="0"/>
    <n v="152509"/>
    <m/>
    <n v="148062"/>
    <m/>
    <n v="2916"/>
    <m/>
    <m/>
    <m/>
    <n v="1531"/>
    <n v="0"/>
    <n v="0"/>
    <m/>
    <m/>
    <n v="0"/>
    <n v="9563"/>
    <m/>
    <n v="7526"/>
    <m/>
    <n v="1788"/>
    <m/>
    <m/>
    <m/>
    <n v="249"/>
    <n v="0"/>
    <n v="0"/>
    <m/>
    <n v="0"/>
  </r>
  <r>
    <x v="14"/>
    <s v="Christopher Newport University"/>
    <m/>
    <n v="231712"/>
    <x v="4"/>
    <n v="0"/>
    <n v="138094"/>
    <m/>
    <n v="136161"/>
    <m/>
    <n v="345"/>
    <m/>
    <m/>
    <m/>
    <n v="1588"/>
    <n v="0"/>
    <n v="0"/>
    <m/>
    <m/>
    <n v="0"/>
    <n v="4215"/>
    <m/>
    <n v="4119"/>
    <m/>
    <n v="96"/>
    <m/>
    <m/>
    <m/>
    <n v="0"/>
    <n v="0"/>
    <n v="0"/>
    <m/>
    <n v="0"/>
  </r>
  <r>
    <x v="14"/>
    <s v="Longwood University "/>
    <s v="Reclassified: met criteria for SREB Four-Year 4 in 2008-09, 2009-10 and 2010-11."/>
    <n v="232566"/>
    <x v="3"/>
    <n v="0"/>
    <n v="124398"/>
    <m/>
    <n v="116807"/>
    <m/>
    <n v="768"/>
    <m/>
    <m/>
    <m/>
    <n v="6823"/>
    <n v="0"/>
    <n v="0"/>
    <m/>
    <m/>
    <n v="0"/>
    <n v="8191"/>
    <m/>
    <n v="4299"/>
    <m/>
    <n v="2981"/>
    <m/>
    <m/>
    <m/>
    <n v="911"/>
    <n v="0"/>
    <n v="0"/>
    <m/>
    <n v="0"/>
  </r>
  <r>
    <x v="14"/>
    <s v="University of Mary Washington "/>
    <m/>
    <n v="232681"/>
    <x v="4"/>
    <n v="0"/>
    <n v="126229"/>
    <m/>
    <n v="122084"/>
    <m/>
    <n v="0"/>
    <m/>
    <m/>
    <m/>
    <n v="4022"/>
    <n v="123"/>
    <n v="0"/>
    <m/>
    <m/>
    <n v="0"/>
    <n v="10857"/>
    <m/>
    <n v="9170"/>
    <m/>
    <n v="0"/>
    <m/>
    <m/>
    <m/>
    <n v="1687"/>
    <n v="0"/>
    <n v="0"/>
    <m/>
    <n v="0"/>
  </r>
  <r>
    <x v="14"/>
    <s v="University of Virginia's College at Wise "/>
    <m/>
    <n v="233897"/>
    <x v="5"/>
    <n v="0"/>
    <n v="50690.3"/>
    <m/>
    <n v="48171.3"/>
    <m/>
    <n v="499"/>
    <m/>
    <m/>
    <m/>
    <n v="2020"/>
    <n v="0"/>
    <n v="0"/>
    <m/>
    <m/>
    <n v="0"/>
    <n v="0"/>
    <m/>
    <n v="0"/>
    <m/>
    <n v="0"/>
    <m/>
    <m/>
    <m/>
    <n v="0"/>
    <n v="0"/>
    <n v="0"/>
    <m/>
    <n v="0"/>
  </r>
  <r>
    <x v="14"/>
    <s v="J.S. Reynolds Community College"/>
    <m/>
    <n v="232414"/>
    <x v="6"/>
    <n v="0"/>
    <n v="244230"/>
    <m/>
    <n v="172158"/>
    <m/>
    <n v="15398"/>
    <m/>
    <m/>
    <m/>
    <n v="56524"/>
    <n v="150"/>
    <n v="0"/>
    <m/>
    <m/>
    <n v="0"/>
    <n v="0"/>
    <m/>
    <n v="0"/>
    <m/>
    <n v="0"/>
    <m/>
    <m/>
    <m/>
    <n v="0"/>
    <n v="0"/>
    <n v="0"/>
    <m/>
    <n v="0"/>
  </r>
  <r>
    <x v="14"/>
    <s v="Northern Virginia Community College "/>
    <m/>
    <n v="232946"/>
    <x v="6"/>
    <n v="0"/>
    <n v="1001401"/>
    <m/>
    <n v="735603"/>
    <m/>
    <n v="55892"/>
    <m/>
    <m/>
    <m/>
    <n v="204659"/>
    <n v="5247"/>
    <n v="0"/>
    <m/>
    <m/>
    <n v="0"/>
    <n v="0"/>
    <m/>
    <n v="0"/>
    <m/>
    <n v="0"/>
    <m/>
    <m/>
    <m/>
    <n v="0"/>
    <n v="0"/>
    <n v="0"/>
    <m/>
    <n v="0"/>
  </r>
  <r>
    <x v="14"/>
    <s v="Thomas Nelson Community College "/>
    <m/>
    <n v="233754"/>
    <x v="6"/>
    <n v="0"/>
    <n v="204930"/>
    <m/>
    <n v="149305"/>
    <m/>
    <n v="17013"/>
    <m/>
    <m/>
    <m/>
    <n v="38173"/>
    <n v="439"/>
    <n v="0"/>
    <m/>
    <m/>
    <n v="0"/>
    <n v="0"/>
    <m/>
    <n v="0"/>
    <m/>
    <n v="0"/>
    <m/>
    <m/>
    <m/>
    <n v="0"/>
    <n v="0"/>
    <n v="0"/>
    <m/>
    <n v="0"/>
  </r>
  <r>
    <x v="14"/>
    <s v="Tidewater Community College "/>
    <m/>
    <n v="233772"/>
    <x v="6"/>
    <n v="0"/>
    <n v="657783"/>
    <m/>
    <n v="443134"/>
    <m/>
    <n v="44119"/>
    <m/>
    <m/>
    <m/>
    <n v="170530"/>
    <n v="0"/>
    <n v="0"/>
    <m/>
    <m/>
    <n v="0"/>
    <n v="0"/>
    <m/>
    <n v="0"/>
    <m/>
    <n v="0"/>
    <m/>
    <m/>
    <m/>
    <n v="0"/>
    <n v="0"/>
    <n v="0"/>
    <m/>
    <n v="0"/>
  </r>
  <r>
    <x v="14"/>
    <s v="Blue Ridge Community College "/>
    <m/>
    <n v="231536"/>
    <x v="7"/>
    <n v="0"/>
    <n v="94850"/>
    <m/>
    <n v="56418"/>
    <m/>
    <n v="12609"/>
    <m/>
    <m/>
    <m/>
    <n v="25823"/>
    <n v="0"/>
    <n v="0"/>
    <m/>
    <m/>
    <n v="0"/>
    <n v="0"/>
    <m/>
    <n v="0"/>
    <m/>
    <n v="0"/>
    <m/>
    <m/>
    <m/>
    <n v="0"/>
    <n v="0"/>
    <n v="0"/>
    <m/>
    <n v="0"/>
  </r>
  <r>
    <x v="14"/>
    <s v="Central Virginia Community College "/>
    <m/>
    <n v="231697"/>
    <x v="7"/>
    <n v="0"/>
    <n v="88313"/>
    <m/>
    <n v="54003"/>
    <m/>
    <n v="17498"/>
    <m/>
    <m/>
    <m/>
    <n v="12808"/>
    <n v="4004"/>
    <n v="0"/>
    <m/>
    <m/>
    <n v="0"/>
    <n v="0"/>
    <m/>
    <n v="0"/>
    <m/>
    <n v="0"/>
    <m/>
    <m/>
    <m/>
    <n v="0"/>
    <n v="0"/>
    <n v="0"/>
    <m/>
    <n v="0"/>
  </r>
  <r>
    <x v="14"/>
    <s v="Danville Community College "/>
    <m/>
    <n v="231882"/>
    <x v="7"/>
    <n v="0"/>
    <n v="88812"/>
    <m/>
    <n v="58317"/>
    <m/>
    <n v="20500"/>
    <m/>
    <m/>
    <m/>
    <n v="9382"/>
    <n v="613"/>
    <n v="0"/>
    <m/>
    <m/>
    <n v="0"/>
    <n v="0"/>
    <m/>
    <n v="0"/>
    <m/>
    <n v="0"/>
    <m/>
    <m/>
    <m/>
    <n v="0"/>
    <n v="0"/>
    <n v="0"/>
    <m/>
    <n v="0"/>
  </r>
  <r>
    <x v="14"/>
    <s v="Germanna Community College"/>
    <m/>
    <n v="232195"/>
    <x v="7"/>
    <n v="0"/>
    <n v="131957"/>
    <m/>
    <n v="81676"/>
    <m/>
    <n v="16152"/>
    <m/>
    <m/>
    <m/>
    <n v="21591"/>
    <n v="12538"/>
    <n v="0"/>
    <m/>
    <m/>
    <n v="0"/>
    <n v="0"/>
    <m/>
    <n v="0"/>
    <m/>
    <n v="0"/>
    <m/>
    <m/>
    <m/>
    <n v="0"/>
    <n v="0"/>
    <n v="0"/>
    <m/>
    <n v="0"/>
  </r>
  <r>
    <x v="14"/>
    <s v="John Tyler Community College"/>
    <m/>
    <n v="232450"/>
    <x v="7"/>
    <n v="0"/>
    <n v="181574"/>
    <m/>
    <n v="120678"/>
    <m/>
    <n v="20587"/>
    <m/>
    <m/>
    <m/>
    <n v="40107"/>
    <n v="202"/>
    <n v="0"/>
    <m/>
    <m/>
    <n v="0"/>
    <n v="0"/>
    <m/>
    <n v="0"/>
    <m/>
    <n v="0"/>
    <m/>
    <m/>
    <m/>
    <n v="0"/>
    <n v="0"/>
    <n v="0"/>
    <m/>
    <n v="0"/>
  </r>
  <r>
    <x v="14"/>
    <s v="Lord Fairfax Community College"/>
    <m/>
    <n v="232575"/>
    <x v="7"/>
    <n v="0"/>
    <n v="117744"/>
    <m/>
    <n v="72683"/>
    <m/>
    <n v="18552"/>
    <m/>
    <m/>
    <m/>
    <n v="18969"/>
    <n v="7540"/>
    <n v="0"/>
    <m/>
    <m/>
    <n v="0"/>
    <n v="0"/>
    <m/>
    <n v="0"/>
    <m/>
    <n v="0"/>
    <m/>
    <m/>
    <m/>
    <n v="0"/>
    <n v="0"/>
    <n v="0"/>
    <m/>
    <n v="0"/>
  </r>
  <r>
    <x v="14"/>
    <s v="New River Community College "/>
    <m/>
    <n v="232867"/>
    <x v="7"/>
    <n v="0"/>
    <n v="101175"/>
    <m/>
    <n v="42150"/>
    <m/>
    <n v="30343"/>
    <m/>
    <m/>
    <m/>
    <n v="28244"/>
    <n v="438"/>
    <n v="0"/>
    <m/>
    <m/>
    <n v="0"/>
    <n v="0"/>
    <m/>
    <n v="0"/>
    <m/>
    <n v="0"/>
    <m/>
    <m/>
    <m/>
    <n v="0"/>
    <n v="0"/>
    <n v="0"/>
    <m/>
    <n v="0"/>
  </r>
  <r>
    <x v="14"/>
    <s v="Piedmont Virginia Community College "/>
    <m/>
    <n v="233116"/>
    <x v="7"/>
    <n v="0"/>
    <n v="88143"/>
    <m/>
    <n v="63828"/>
    <m/>
    <n v="11644"/>
    <m/>
    <m/>
    <m/>
    <n v="12671"/>
    <n v="0"/>
    <n v="0"/>
    <m/>
    <m/>
    <n v="0"/>
    <n v="0"/>
    <m/>
    <n v="0"/>
    <m/>
    <n v="0"/>
    <m/>
    <m/>
    <m/>
    <n v="0"/>
    <n v="0"/>
    <n v="0"/>
    <m/>
    <n v="0"/>
  </r>
  <r>
    <x v="14"/>
    <s v="Southside Virginia Community College"/>
    <m/>
    <n v="233639"/>
    <x v="7"/>
    <n v="0"/>
    <n v="115613"/>
    <m/>
    <n v="32261"/>
    <m/>
    <n v="55544"/>
    <m/>
    <m/>
    <m/>
    <n v="26485"/>
    <n v="1323"/>
    <n v="0"/>
    <m/>
    <m/>
    <n v="0"/>
    <n v="0"/>
    <m/>
    <n v="0"/>
    <m/>
    <n v="0"/>
    <m/>
    <m/>
    <m/>
    <n v="0"/>
    <n v="0"/>
    <n v="0"/>
    <m/>
    <n v="0"/>
  </r>
  <r>
    <x v="14"/>
    <s v="Southwest Virginia Community College "/>
    <m/>
    <n v="233648"/>
    <x v="7"/>
    <n v="0"/>
    <n v="75145"/>
    <m/>
    <n v="29666"/>
    <m/>
    <n v="23308"/>
    <m/>
    <m/>
    <m/>
    <n v="18796"/>
    <n v="3375"/>
    <n v="0"/>
    <m/>
    <m/>
    <n v="0"/>
    <n v="0"/>
    <m/>
    <n v="0"/>
    <m/>
    <n v="0"/>
    <m/>
    <m/>
    <m/>
    <n v="0"/>
    <n v="0"/>
    <n v="0"/>
    <m/>
    <n v="0"/>
  </r>
  <r>
    <x v="14"/>
    <s v="Virginia Western Community College "/>
    <s v="Met the criteria for Two-Year 1 in 2010-11."/>
    <n v="233949"/>
    <x v="7"/>
    <n v="0"/>
    <n v="147852"/>
    <m/>
    <n v="97067"/>
    <m/>
    <n v="22641"/>
    <m/>
    <m/>
    <m/>
    <n v="21467"/>
    <n v="6677"/>
    <n v="0"/>
    <m/>
    <m/>
    <n v="0"/>
    <n v="0"/>
    <m/>
    <n v="0"/>
    <m/>
    <n v="0"/>
    <m/>
    <m/>
    <m/>
    <n v="0"/>
    <n v="0"/>
    <n v="0"/>
    <m/>
    <n v="0"/>
  </r>
  <r>
    <x v="14"/>
    <s v="D.S. Lancaster Community College "/>
    <m/>
    <n v="231873"/>
    <x v="8"/>
    <n v="0"/>
    <n v="26089"/>
    <m/>
    <n v="9774"/>
    <m/>
    <n v="5978"/>
    <m/>
    <m/>
    <m/>
    <n v="2487"/>
    <n v="7850"/>
    <n v="0"/>
    <m/>
    <m/>
    <n v="0"/>
    <n v="0"/>
    <m/>
    <n v="0"/>
    <m/>
    <n v="0"/>
    <m/>
    <m/>
    <m/>
    <n v="0"/>
    <n v="0"/>
    <n v="0"/>
    <m/>
    <n v="0"/>
  </r>
  <r>
    <x v="14"/>
    <s v="Eastern Shore Community College"/>
    <m/>
    <n v="232052"/>
    <x v="8"/>
    <n v="0"/>
    <n v="20534"/>
    <m/>
    <n v="14384"/>
    <m/>
    <n v="2661"/>
    <m/>
    <m/>
    <m/>
    <n v="3489"/>
    <n v="0"/>
    <n v="0"/>
    <m/>
    <m/>
    <n v="0"/>
    <n v="0"/>
    <m/>
    <n v="0"/>
    <m/>
    <n v="0"/>
    <m/>
    <m/>
    <m/>
    <n v="0"/>
    <n v="0"/>
    <n v="0"/>
    <m/>
    <n v="0"/>
  </r>
  <r>
    <x v="14"/>
    <s v="Mountain Empire Community College"/>
    <s v="Met the criteria for Two-Year 2 in 2010-11."/>
    <n v="232788"/>
    <x v="8"/>
    <n v="0"/>
    <n v="65947"/>
    <m/>
    <n v="29771"/>
    <m/>
    <n v="10524"/>
    <m/>
    <m/>
    <m/>
    <n v="23917"/>
    <n v="1735"/>
    <n v="0"/>
    <m/>
    <m/>
    <n v="0"/>
    <n v="0"/>
    <m/>
    <n v="0"/>
    <m/>
    <n v="0"/>
    <m/>
    <m/>
    <m/>
    <n v="0"/>
    <n v="0"/>
    <n v="0"/>
    <m/>
    <n v="0"/>
  </r>
  <r>
    <x v="14"/>
    <s v="Patrick Henry Community College "/>
    <s v="Met the criteria for Two-Year 2 in 2009-10 and 2010-11."/>
    <n v="233019"/>
    <x v="8"/>
    <n v="0"/>
    <n v="76247"/>
    <m/>
    <n v="40582"/>
    <m/>
    <n v="12047"/>
    <m/>
    <m/>
    <m/>
    <n v="22539"/>
    <n v="1079"/>
    <n v="0"/>
    <m/>
    <m/>
    <n v="0"/>
    <n v="0"/>
    <m/>
    <n v="0"/>
    <m/>
    <n v="0"/>
    <m/>
    <m/>
    <m/>
    <n v="0"/>
    <n v="0"/>
    <n v="0"/>
    <m/>
    <n v="0"/>
  </r>
  <r>
    <x v="14"/>
    <s v="Paul D. Camp Community College"/>
    <m/>
    <n v="233037"/>
    <x v="8"/>
    <n v="0"/>
    <n v="30751"/>
    <m/>
    <n v="17424"/>
    <m/>
    <n v="5763"/>
    <m/>
    <m/>
    <m/>
    <n v="6406"/>
    <n v="1158"/>
    <n v="0"/>
    <m/>
    <m/>
    <n v="0"/>
    <n v="0"/>
    <m/>
    <n v="0"/>
    <m/>
    <n v="0"/>
    <m/>
    <m/>
    <m/>
    <n v="0"/>
    <n v="0"/>
    <n v="0"/>
    <m/>
    <n v="0"/>
  </r>
  <r>
    <x v="14"/>
    <s v="Rappahannock Community College"/>
    <m/>
    <n v="233310"/>
    <x v="8"/>
    <n v="0"/>
    <n v="58268"/>
    <m/>
    <n v="16725"/>
    <m/>
    <n v="16035"/>
    <m/>
    <m/>
    <m/>
    <n v="12884"/>
    <n v="12624"/>
    <n v="0"/>
    <m/>
    <m/>
    <n v="0"/>
    <n v="0"/>
    <m/>
    <n v="0"/>
    <m/>
    <n v="0"/>
    <m/>
    <m/>
    <m/>
    <n v="0"/>
    <n v="0"/>
    <n v="0"/>
    <m/>
    <n v="0"/>
  </r>
  <r>
    <x v="14"/>
    <s v="Richard Bland College "/>
    <m/>
    <n v="233338"/>
    <x v="8"/>
    <n v="0"/>
    <n v="35209"/>
    <m/>
    <n v="32786"/>
    <m/>
    <n v="1572"/>
    <m/>
    <m/>
    <m/>
    <n v="851"/>
    <n v="0"/>
    <n v="0"/>
    <m/>
    <m/>
    <n v="0"/>
    <n v="0"/>
    <m/>
    <n v="0"/>
    <m/>
    <n v="0"/>
    <m/>
    <m/>
    <m/>
    <n v="0"/>
    <n v="0"/>
    <n v="0"/>
    <m/>
    <n v="0"/>
  </r>
  <r>
    <x v="14"/>
    <s v="Virginia Highlands Community College "/>
    <m/>
    <n v="233903"/>
    <x v="8"/>
    <n v="0"/>
    <n v="56123"/>
    <m/>
    <n v="34830"/>
    <m/>
    <n v="7037"/>
    <m/>
    <m/>
    <m/>
    <n v="11977"/>
    <n v="2279"/>
    <n v="0"/>
    <m/>
    <m/>
    <n v="0"/>
    <n v="0"/>
    <m/>
    <n v="0"/>
    <m/>
    <n v="0"/>
    <m/>
    <m/>
    <m/>
    <n v="0"/>
    <n v="0"/>
    <n v="0"/>
    <m/>
    <n v="0"/>
  </r>
  <r>
    <x v="14"/>
    <s v="Wytheville Community College "/>
    <s v="Met the criteria for Two-Year 2 in 2009-10 and 2010-11."/>
    <n v="234377"/>
    <x v="8"/>
    <n v="0"/>
    <n v="74124"/>
    <m/>
    <n v="18220"/>
    <m/>
    <n v="22192"/>
    <m/>
    <m/>
    <m/>
    <n v="29253"/>
    <n v="4459"/>
    <n v="0"/>
    <m/>
    <m/>
    <n v="0"/>
    <n v="0"/>
    <m/>
    <n v="0"/>
    <m/>
    <n v="0"/>
    <m/>
    <m/>
    <m/>
    <n v="0"/>
    <n v="0"/>
    <n v="0"/>
    <m/>
    <n v="0"/>
  </r>
  <r>
    <x v="15"/>
    <s v="West Virginia University"/>
    <m/>
    <n v="238032"/>
    <x v="0"/>
    <n v="643635"/>
    <n v="650374"/>
    <n v="603992"/>
    <n v="606693"/>
    <n v="700"/>
    <n v="1175"/>
    <n v="36497"/>
    <n v="15"/>
    <n v="2431"/>
    <n v="39902"/>
    <m/>
    <n v="2604"/>
    <n v="0"/>
    <m/>
    <n v="112343"/>
    <n v="112337"/>
    <n v="75674"/>
    <n v="74358"/>
    <n v="10214"/>
    <n v="10645"/>
    <n v="22972"/>
    <n v="3003"/>
    <n v="480"/>
    <n v="24476"/>
    <n v="2395"/>
    <n v="463"/>
    <m/>
    <m/>
  </r>
  <r>
    <x v="15"/>
    <s v="Marshall University "/>
    <m/>
    <n v="237525"/>
    <x v="2"/>
    <n v="254769"/>
    <n v="268026"/>
    <n v="209775"/>
    <n v="218335"/>
    <n v="13594"/>
    <n v="14845"/>
    <n v="31169"/>
    <n v="231"/>
    <n v="0"/>
    <n v="34600"/>
    <n v="246"/>
    <m/>
    <n v="0"/>
    <m/>
    <n v="55755"/>
    <n v="55610"/>
    <n v="18135"/>
    <n v="18341"/>
    <n v="24664"/>
    <n v="24862"/>
    <n v="12077"/>
    <n v="879"/>
    <m/>
    <n v="11933"/>
    <n v="474"/>
    <m/>
    <m/>
    <m/>
  </r>
  <r>
    <x v="15"/>
    <s v="Fairmont State University"/>
    <m/>
    <n v="237367"/>
    <x v="4"/>
    <n v="115602"/>
    <n v="120046"/>
    <n v="88480"/>
    <n v="91278"/>
    <n v="14107"/>
    <n v="14672"/>
    <n v="13015"/>
    <n v="0"/>
    <n v="0"/>
    <n v="14096"/>
    <m/>
    <m/>
    <n v="0"/>
    <m/>
    <n v="5478"/>
    <n v="5087"/>
    <n v="1450"/>
    <n v="1281"/>
    <m/>
    <m/>
    <n v="4028"/>
    <m/>
    <m/>
    <n v="3806"/>
    <m/>
    <m/>
    <m/>
    <m/>
  </r>
  <r>
    <x v="15"/>
    <s v="Bluefield State College "/>
    <m/>
    <n v="237215"/>
    <x v="5"/>
    <n v="54284"/>
    <n v="56036"/>
    <n v="34197"/>
    <n v="34354"/>
    <n v="3558"/>
    <n v="2743"/>
    <n v="13943"/>
    <n v="2577"/>
    <n v="9"/>
    <n v="16285"/>
    <n v="2654"/>
    <m/>
    <n v="0"/>
    <m/>
    <n v="0"/>
    <n v="0"/>
    <m/>
    <m/>
    <m/>
    <m/>
    <m/>
    <m/>
    <m/>
    <m/>
    <m/>
    <m/>
    <m/>
    <m/>
  </r>
  <r>
    <x v="15"/>
    <s v="Concord University "/>
    <m/>
    <n v="237330"/>
    <x v="5"/>
    <n v="80430"/>
    <n v="80188"/>
    <n v="68289"/>
    <n v="65734"/>
    <n v="9617"/>
    <n v="10548"/>
    <n v="2248"/>
    <n v="276"/>
    <n v="0"/>
    <n v="3248"/>
    <n v="400"/>
    <n v="258"/>
    <n v="0"/>
    <m/>
    <n v="1971"/>
    <n v="2898"/>
    <n v="156"/>
    <n v="165"/>
    <n v="267"/>
    <n v="342"/>
    <n v="1548"/>
    <m/>
    <m/>
    <n v="2391"/>
    <m/>
    <m/>
    <m/>
    <m/>
  </r>
  <r>
    <x v="15"/>
    <s v="Glenville State College "/>
    <m/>
    <n v="237385"/>
    <x v="5"/>
    <n v="40111"/>
    <n v="44658"/>
    <n v="33052"/>
    <n v="34424"/>
    <n v="3854"/>
    <n v="4693"/>
    <n v="3205"/>
    <n v="0"/>
    <n v="0"/>
    <n v="5541"/>
    <m/>
    <m/>
    <n v="0"/>
    <m/>
    <n v="0"/>
    <n v="0"/>
    <m/>
    <m/>
    <m/>
    <m/>
    <m/>
    <m/>
    <m/>
    <m/>
    <m/>
    <m/>
    <m/>
    <m/>
  </r>
  <r>
    <x v="15"/>
    <s v="Shepherd University "/>
    <s v="Reclassified: met the criteria for Four-Year 5 in 2008-09, 2009-10 and 2010-11."/>
    <n v="237792"/>
    <x v="4"/>
    <n v="107734"/>
    <n v="109161"/>
    <n v="106202"/>
    <n v="107461"/>
    <n v="0"/>
    <m/>
    <n v="1532"/>
    <n v="0"/>
    <n v="0"/>
    <n v="1700"/>
    <m/>
    <m/>
    <n v="0"/>
    <m/>
    <n v="3547"/>
    <n v="3486"/>
    <n v="3538"/>
    <n v="3132"/>
    <m/>
    <m/>
    <n v="9"/>
    <m/>
    <m/>
    <n v="354"/>
    <m/>
    <m/>
    <m/>
    <m/>
  </r>
  <r>
    <x v="15"/>
    <s v="West Liberty University"/>
    <m/>
    <n v="237932"/>
    <x v="5"/>
    <n v="72217"/>
    <n v="76144"/>
    <n v="67458"/>
    <n v="67505"/>
    <n v="2534"/>
    <n v="4721"/>
    <n v="2225"/>
    <n v="0"/>
    <n v="0"/>
    <n v="3918"/>
    <m/>
    <m/>
    <n v="0"/>
    <m/>
    <n v="618"/>
    <n v="1122"/>
    <n v="3"/>
    <n v="51"/>
    <n v="615"/>
    <n v="1071"/>
    <m/>
    <m/>
    <m/>
    <m/>
    <m/>
    <m/>
    <m/>
    <m/>
  </r>
  <r>
    <x v="15"/>
    <s v="West Virginia State University "/>
    <m/>
    <n v="237899"/>
    <x v="5"/>
    <n v="75949"/>
    <n v="76697"/>
    <n v="70128"/>
    <n v="68122"/>
    <n v="2169"/>
    <n v="2359"/>
    <n v="3652"/>
    <n v="0"/>
    <n v="0"/>
    <n v="6216"/>
    <m/>
    <m/>
    <n v="0"/>
    <m/>
    <n v="618"/>
    <n v="757"/>
    <n v="618"/>
    <n v="757"/>
    <m/>
    <m/>
    <m/>
    <m/>
    <m/>
    <m/>
    <m/>
    <m/>
    <m/>
    <m/>
  </r>
  <r>
    <x v="15"/>
    <s v="West Virginia University Institute of Technology"/>
    <m/>
    <n v="237950"/>
    <x v="5"/>
    <n v="31616"/>
    <n v="32269"/>
    <n v="28861"/>
    <n v="29837"/>
    <n v="552"/>
    <n v="936"/>
    <n v="2121"/>
    <n v="0"/>
    <n v="82"/>
    <n v="1496"/>
    <m/>
    <m/>
    <n v="0"/>
    <m/>
    <n v="0"/>
    <n v="0"/>
    <m/>
    <m/>
    <m/>
    <m/>
    <m/>
    <m/>
    <m/>
    <m/>
    <m/>
    <m/>
    <m/>
    <m/>
  </r>
  <r>
    <x v="15"/>
    <s v="Potomac State College of West Virginia University"/>
    <m/>
    <n v="237701"/>
    <x v="11"/>
    <n v="40545"/>
    <n v="44503"/>
    <n v="36171"/>
    <n v="39718"/>
    <n v="3335"/>
    <n v="3084"/>
    <n v="1036"/>
    <n v="0"/>
    <n v="3"/>
    <n v="1701"/>
    <m/>
    <m/>
    <n v="0"/>
    <m/>
    <n v="0"/>
    <n v="0"/>
    <m/>
    <m/>
    <m/>
    <m/>
    <m/>
    <m/>
    <m/>
    <m/>
    <m/>
    <m/>
    <m/>
    <m/>
  </r>
  <r>
    <x v="15"/>
    <s v="West Virginia University at Parkersburg"/>
    <m/>
    <n v="237686"/>
    <x v="11"/>
    <n v="93550"/>
    <n v="105288"/>
    <n v="58188"/>
    <n v="63066"/>
    <n v="14527"/>
    <n v="16754"/>
    <n v="19458"/>
    <n v="0"/>
    <n v="1377"/>
    <n v="24240"/>
    <m/>
    <n v="1228"/>
    <n v="0"/>
    <m/>
    <n v="0"/>
    <n v="0"/>
    <m/>
    <m/>
    <m/>
    <m/>
    <m/>
    <m/>
    <m/>
    <m/>
    <m/>
    <m/>
    <m/>
    <m/>
  </r>
  <r>
    <x v="15"/>
    <s v="Blue Ridge Community &amp; Technical College"/>
    <m/>
    <n v="446774"/>
    <x v="8"/>
    <n v="40415"/>
    <n v="51702"/>
    <n v="27747"/>
    <n v="26465"/>
    <n v="6387"/>
    <n v="16456"/>
    <n v="6194"/>
    <n v="0"/>
    <n v="0"/>
    <n v="8445"/>
    <m/>
    <m/>
    <n v="87"/>
    <n v="336"/>
    <n v="0"/>
    <n v="0"/>
    <m/>
    <m/>
    <m/>
    <m/>
    <m/>
    <m/>
    <m/>
    <m/>
    <m/>
    <m/>
    <m/>
    <m/>
  </r>
  <r>
    <x v="15"/>
    <s v="Bridgemont Community &amp; Technical College"/>
    <m/>
    <n v="445674"/>
    <x v="8"/>
    <n v="16666"/>
    <n v="17510"/>
    <n v="14028"/>
    <n v="13773"/>
    <n v="766"/>
    <n v="730"/>
    <n v="1857"/>
    <n v="0"/>
    <n v="15"/>
    <n v="3007"/>
    <m/>
    <m/>
    <n v="0"/>
    <m/>
    <n v="0"/>
    <n v="0"/>
    <m/>
    <m/>
    <m/>
    <m/>
    <m/>
    <m/>
    <m/>
    <m/>
    <m/>
    <m/>
    <m/>
    <m/>
  </r>
  <r>
    <x v="15"/>
    <s v="Eastern West Virginia Community &amp; Technical College"/>
    <m/>
    <n v="438708"/>
    <x v="8"/>
    <n v="8901"/>
    <n v="10754"/>
    <n v="4146"/>
    <n v="6168"/>
    <n v="2405"/>
    <n v="2071"/>
    <n v="2065"/>
    <n v="285"/>
    <n v="0"/>
    <n v="2449"/>
    <n v="66"/>
    <m/>
    <n v="0"/>
    <m/>
    <n v="0"/>
    <n v="0"/>
    <m/>
    <m/>
    <m/>
    <m/>
    <m/>
    <m/>
    <m/>
    <m/>
    <m/>
    <m/>
    <m/>
    <m/>
  </r>
  <r>
    <x v="15"/>
    <s v="Kanawha Valley Community &amp; Technical College"/>
    <m/>
    <n v="445018"/>
    <x v="8"/>
    <n v="37468"/>
    <n v="36892"/>
    <n v="32838"/>
    <n v="31293"/>
    <n v="1299"/>
    <n v="1767"/>
    <n v="3331"/>
    <n v="0"/>
    <n v="0"/>
    <n v="3832"/>
    <m/>
    <m/>
    <n v="0"/>
    <m/>
    <n v="6"/>
    <n v="0"/>
    <n v="6"/>
    <m/>
    <m/>
    <m/>
    <m/>
    <m/>
    <m/>
    <m/>
    <m/>
    <m/>
    <m/>
    <m/>
  </r>
  <r>
    <x v="15"/>
    <s v="Mountwest Community &amp; Technical College"/>
    <s v="Formerly Marshall Community &amp; Technical College"/>
    <n v="444954"/>
    <x v="8"/>
    <n v="56020"/>
    <n v="57724"/>
    <n v="30678"/>
    <n v="30220"/>
    <n v="19414"/>
    <n v="17057"/>
    <n v="5922"/>
    <n v="6"/>
    <n v="0"/>
    <n v="10447"/>
    <m/>
    <m/>
    <n v="0"/>
    <m/>
    <n v="0"/>
    <n v="0"/>
    <m/>
    <m/>
    <m/>
    <m/>
    <m/>
    <m/>
    <m/>
    <m/>
    <m/>
    <m/>
    <m/>
    <m/>
  </r>
  <r>
    <x v="15"/>
    <s v="New River Community &amp; Technical College"/>
    <s v="Met criteria for Two-Year 2 in 2010-11."/>
    <n v="447582"/>
    <x v="8"/>
    <n v="56743"/>
    <n v="66980"/>
    <n v="20579"/>
    <n v="43791"/>
    <n v="23021"/>
    <n v="5903"/>
    <n v="10374"/>
    <n v="2715"/>
    <n v="54"/>
    <n v="13126"/>
    <n v="4124"/>
    <n v="36"/>
    <n v="0"/>
    <m/>
    <n v="0"/>
    <n v="0"/>
    <m/>
    <m/>
    <m/>
    <m/>
    <m/>
    <m/>
    <m/>
    <m/>
    <m/>
    <m/>
    <m/>
    <m/>
  </r>
  <r>
    <x v="15"/>
    <s v="Pierpont Community &amp; Technical College"/>
    <s v="Met criteria for Two-Year 2 in 2010-11."/>
    <n v="443492"/>
    <x v="8"/>
    <n v="59426"/>
    <n v="65108"/>
    <n v="32313"/>
    <n v="34513"/>
    <n v="20648"/>
    <n v="23070"/>
    <n v="6465"/>
    <n v="0"/>
    <n v="0"/>
    <n v="7525"/>
    <m/>
    <m/>
    <n v="0"/>
    <m/>
    <n v="0"/>
    <n v="0"/>
    <m/>
    <m/>
    <m/>
    <m/>
    <m/>
    <m/>
    <m/>
    <m/>
    <m/>
    <m/>
    <m/>
    <m/>
  </r>
  <r>
    <x v="15"/>
    <s v="Southern West Virginia Community &amp; Technical College "/>
    <m/>
    <n v="237817"/>
    <x v="8"/>
    <n v="50791"/>
    <n v="51996"/>
    <n v="37691"/>
    <n v="38961"/>
    <n v="4148"/>
    <n v="3577"/>
    <n v="5072"/>
    <n v="3784"/>
    <n v="96"/>
    <n v="6090"/>
    <n v="3368"/>
    <m/>
    <n v="0"/>
    <m/>
    <n v="0"/>
    <n v="0"/>
    <m/>
    <m/>
    <m/>
    <m/>
    <m/>
    <m/>
    <m/>
    <m/>
    <m/>
    <m/>
    <m/>
    <m/>
  </r>
  <r>
    <x v="15"/>
    <s v="West Virginia Northern Community College"/>
    <s v="Met the critieria for Two-Year 2 in 2009-10 and 2010-11."/>
    <n v="238014"/>
    <x v="8"/>
    <n v="65954"/>
    <n v="76666"/>
    <n v="56730"/>
    <n v="64578"/>
    <n v="0"/>
    <m/>
    <n v="6424"/>
    <n v="2800"/>
    <n v="0"/>
    <n v="9569"/>
    <n v="2519"/>
    <m/>
    <n v="0"/>
    <m/>
    <n v="0"/>
    <n v="0"/>
    <m/>
    <m/>
    <m/>
    <m/>
    <m/>
    <m/>
    <m/>
    <m/>
    <m/>
    <m/>
    <m/>
    <m/>
  </r>
</pivotCacheRecords>
</file>

<file path=xl/pivotCache/pivotCacheRecords2.xml><?xml version="1.0" encoding="utf-8"?>
<pivotCacheRecords xmlns="http://schemas.openxmlformats.org/spreadsheetml/2006/main" xmlns:r="http://schemas.openxmlformats.org/officeDocument/2006/relationships" count="561">
  <r>
    <x v="0"/>
    <s v="Auburn University"/>
    <m/>
    <n v="100858"/>
    <x v="0"/>
    <n v="585421"/>
    <n v="593278"/>
    <n v="580096"/>
    <n v="587042"/>
    <n v="0"/>
    <n v="0"/>
    <n v="1917"/>
    <m/>
    <n v="3408"/>
    <n v="1355"/>
    <m/>
    <n v="4881"/>
    <m/>
    <m/>
    <n v="92318"/>
    <n v="95050"/>
    <n v="79913"/>
    <n v="82043"/>
    <n v="1957"/>
    <n v="1872"/>
    <n v="423"/>
    <m/>
    <n v="10025"/>
    <n v="2111"/>
    <m/>
    <n v="9024"/>
    <m/>
    <m/>
  </r>
  <r>
    <x v="0"/>
    <s v="University of Alabama "/>
    <m/>
    <n v="100751"/>
    <x v="0"/>
    <n v="701593"/>
    <n v="730281"/>
    <n v="661923"/>
    <n v="684175"/>
    <n v="1606"/>
    <n v="180"/>
    <n v="37563"/>
    <n v="477"/>
    <n v="24"/>
    <n v="45450"/>
    <n v="476"/>
    <n v="0"/>
    <n v="0"/>
    <n v="0"/>
    <n v="96154"/>
    <n v="99028"/>
    <n v="79946"/>
    <n v="80866"/>
    <n v="4819"/>
    <n v="5125"/>
    <n v="11034"/>
    <n v="334"/>
    <n v="21"/>
    <n v="12701"/>
    <n v="336"/>
    <n v="0"/>
    <n v="0"/>
    <n v="0"/>
  </r>
  <r>
    <x v="0"/>
    <s v="University of Alabama at Birmingham"/>
    <s v="Met the criteria for Four-Year 2 in 2010-11 and 2011-12."/>
    <n v="100663"/>
    <x v="0"/>
    <n v="262748"/>
    <n v="265083"/>
    <n v="239632"/>
    <n v="237131"/>
    <n v="535"/>
    <n v="182"/>
    <n v="22479"/>
    <n v="102"/>
    <m/>
    <n v="27629"/>
    <n v="141"/>
    <n v="0"/>
    <m/>
    <m/>
    <n v="46951"/>
    <n v="46544"/>
    <n v="42472"/>
    <n v="38860"/>
    <n v="604"/>
    <n v="1178"/>
    <n v="3638"/>
    <n v="237"/>
    <m/>
    <n v="6359"/>
    <n v="147"/>
    <n v="0"/>
    <m/>
    <m/>
  </r>
  <r>
    <x v="0"/>
    <s v="University of Alabama in Huntsville"/>
    <m/>
    <n v="100706"/>
    <x v="1"/>
    <n v="161061"/>
    <n v="155382"/>
    <n v="159070"/>
    <n v="152840"/>
    <m/>
    <m/>
    <n v="1985"/>
    <n v="6"/>
    <m/>
    <n v="2542"/>
    <m/>
    <m/>
    <m/>
    <m/>
    <n v="21952"/>
    <n v="23176"/>
    <n v="18372"/>
    <n v="19268"/>
    <m/>
    <m/>
    <n v="3535"/>
    <n v="33"/>
    <n v="12"/>
    <n v="3908"/>
    <m/>
    <m/>
    <m/>
    <m/>
  </r>
  <r>
    <x v="0"/>
    <s v="Alabama Agricultural &amp; Mechanical University"/>
    <m/>
    <n v="100654"/>
    <x v="2"/>
    <n v="134715"/>
    <n v="140916"/>
    <n v="134715"/>
    <n v="140916"/>
    <m/>
    <m/>
    <m/>
    <m/>
    <m/>
    <m/>
    <m/>
    <m/>
    <m/>
    <m/>
    <n v="15386"/>
    <n v="17299"/>
    <n v="15386"/>
    <n v="17299"/>
    <m/>
    <m/>
    <m/>
    <m/>
    <m/>
    <m/>
    <m/>
    <m/>
    <m/>
    <m/>
  </r>
  <r>
    <x v="0"/>
    <s v="Jacksonville State University "/>
    <m/>
    <n v="101480"/>
    <x v="2"/>
    <n v="206841"/>
    <n v="213835"/>
    <n v="162876"/>
    <n v="168492"/>
    <n v="5247"/>
    <n v="3711"/>
    <n v="36116"/>
    <n v="2602"/>
    <n v="0"/>
    <n v="39076"/>
    <n v="2556"/>
    <n v="0"/>
    <m/>
    <m/>
    <n v="24856"/>
    <n v="21835"/>
    <n v="14225"/>
    <n v="10251"/>
    <n v="0"/>
    <n v="0"/>
    <n v="10631"/>
    <n v="0"/>
    <n v="0"/>
    <n v="11530"/>
    <n v="54"/>
    <n v="0"/>
    <n v="0"/>
    <m/>
  </r>
  <r>
    <x v="0"/>
    <s v="Troy University"/>
    <m/>
    <n v="102368"/>
    <x v="2"/>
    <n v="347685"/>
    <n v="382545"/>
    <n v="244083"/>
    <n v="241718"/>
    <n v="4091"/>
    <n v="2791"/>
    <n v="96506"/>
    <n v="0"/>
    <n v="2999"/>
    <n v="137892"/>
    <n v="0"/>
    <n v="144"/>
    <n v="6"/>
    <n v="0"/>
    <n v="46658"/>
    <n v="53610"/>
    <n v="29257"/>
    <n v="29214"/>
    <n v="1140"/>
    <n v="930"/>
    <n v="12989"/>
    <n v="416"/>
    <n v="2856"/>
    <n v="20382"/>
    <n v="0"/>
    <n v="3084"/>
    <n v="0"/>
    <n v="0"/>
  </r>
  <r>
    <x v="0"/>
    <s v="University of South Alabama"/>
    <m/>
    <n v="102094"/>
    <x v="2"/>
    <n v="272728"/>
    <n v="272824"/>
    <n v="252814"/>
    <n v="244935"/>
    <n v="661"/>
    <n v="384"/>
    <n v="19253"/>
    <m/>
    <m/>
    <n v="27505"/>
    <m/>
    <m/>
    <m/>
    <m/>
    <n v="18705"/>
    <n v="16843"/>
    <n v="13849"/>
    <n v="12117"/>
    <n v="0"/>
    <n v="0"/>
    <n v="4856"/>
    <m/>
    <m/>
    <n v="4726"/>
    <m/>
    <m/>
    <m/>
    <m/>
  </r>
  <r>
    <x v="0"/>
    <s v="Alabama State University "/>
    <m/>
    <n v="100724"/>
    <x v="3"/>
    <n v="156404"/>
    <n v="156341"/>
    <n v="156083"/>
    <n v="153807"/>
    <n v="0"/>
    <m/>
    <n v="321"/>
    <m/>
    <m/>
    <n v="2534"/>
    <m/>
    <m/>
    <m/>
    <m/>
    <n v="16986"/>
    <n v="15442"/>
    <n v="15888"/>
    <n v="10704"/>
    <n v="369"/>
    <n v="104"/>
    <n v="687"/>
    <n v="42"/>
    <m/>
    <n v="4634"/>
    <m/>
    <m/>
    <m/>
    <m/>
  </r>
  <r>
    <x v="0"/>
    <s v="Auburn University at Montgomery"/>
    <m/>
    <n v="100830"/>
    <x v="3"/>
    <n v="122351"/>
    <n v="114305"/>
    <n v="105024"/>
    <n v="95878"/>
    <n v="2402"/>
    <n v="3610"/>
    <n v="14925"/>
    <m/>
    <m/>
    <n v="14817"/>
    <n v="0"/>
    <n v="0"/>
    <m/>
    <n v="0"/>
    <n v="16088"/>
    <n v="14461"/>
    <n v="11239"/>
    <n v="10012"/>
    <n v="192"/>
    <n v="99"/>
    <n v="4657"/>
    <m/>
    <m/>
    <n v="4350"/>
    <n v="0"/>
    <n v="0"/>
    <m/>
    <n v="0"/>
  </r>
  <r>
    <x v="0"/>
    <s v="University of North Alabama"/>
    <m/>
    <n v="101879"/>
    <x v="3"/>
    <n v="162883"/>
    <n v="161595"/>
    <n v="137854"/>
    <n v="135985"/>
    <m/>
    <m/>
    <n v="25029"/>
    <m/>
    <m/>
    <n v="25610"/>
    <m/>
    <m/>
    <m/>
    <m/>
    <n v="16055"/>
    <n v="15321"/>
    <n v="5288"/>
    <n v="5784"/>
    <n v="5198"/>
    <n v="2865"/>
    <n v="5569"/>
    <m/>
    <m/>
    <n v="6672"/>
    <m/>
    <m/>
    <m/>
    <m/>
  </r>
  <r>
    <x v="0"/>
    <s v="University of Montevallo"/>
    <m/>
    <n v="101709"/>
    <x v="4"/>
    <n v="72994"/>
    <n v="72476"/>
    <n v="72049"/>
    <n v="70485"/>
    <n v="219"/>
    <n v="147"/>
    <n v="726"/>
    <m/>
    <m/>
    <n v="1844"/>
    <m/>
    <m/>
    <m/>
    <m/>
    <n v="9559"/>
    <n v="11700"/>
    <n v="8706"/>
    <n v="9958"/>
    <n v="462"/>
    <n v="501"/>
    <n v="391"/>
    <m/>
    <m/>
    <n v="1241"/>
    <m/>
    <m/>
    <m/>
    <m/>
  </r>
  <r>
    <x v="0"/>
    <s v="University of West Alabama"/>
    <m/>
    <n v="101587"/>
    <x v="4"/>
    <n v="50352"/>
    <n v="52280"/>
    <n v="46176"/>
    <n v="47725"/>
    <n v="1108"/>
    <n v="652"/>
    <n v="3068"/>
    <m/>
    <m/>
    <n v="3903"/>
    <m/>
    <m/>
    <m/>
    <m/>
    <n v="48336"/>
    <n v="46585"/>
    <n v="5619"/>
    <n v="5125"/>
    <n v="186"/>
    <n v="54"/>
    <n v="42531"/>
    <m/>
    <m/>
    <n v="41406"/>
    <m/>
    <m/>
    <m/>
    <m/>
  </r>
  <r>
    <x v="0"/>
    <s v="Athens State University"/>
    <m/>
    <n v="100812"/>
    <x v="5"/>
    <n v="89190"/>
    <n v="85702"/>
    <n v="22004"/>
    <n v="20717"/>
    <n v="4023"/>
    <n v="3828"/>
    <n v="63163"/>
    <m/>
    <m/>
    <n v="61157"/>
    <m/>
    <m/>
    <m/>
    <m/>
    <n v="0"/>
    <n v="0"/>
    <m/>
    <m/>
    <m/>
    <m/>
    <m/>
    <m/>
    <m/>
    <m/>
    <m/>
    <m/>
    <m/>
    <m/>
  </r>
  <r>
    <x v="0"/>
    <s v="Gadsden State Community College"/>
    <s v="Reclassified: Met the criteria for Two-Year 1 in 2009-10, 2010-11 and 2011-12."/>
    <n v="101240"/>
    <x v="6"/>
    <n v="182660"/>
    <n v="175612"/>
    <n v="755"/>
    <n v="56761"/>
    <n v="145519"/>
    <n v="82100"/>
    <n v="36200"/>
    <n v="120"/>
    <n v="66"/>
    <n v="36631"/>
    <n v="60"/>
    <n v="60"/>
    <m/>
    <m/>
    <n v="0"/>
    <n v="0"/>
    <m/>
    <m/>
    <m/>
    <m/>
    <m/>
    <m/>
    <m/>
    <m/>
    <m/>
    <m/>
    <m/>
    <m/>
  </r>
  <r>
    <x v="0"/>
    <s v="Jefferson State Community College"/>
    <m/>
    <n v="101505"/>
    <x v="6"/>
    <n v="200118"/>
    <n v="202921"/>
    <n v="138726"/>
    <n v="133695"/>
    <n v="22704"/>
    <n v="24210"/>
    <n v="36946"/>
    <n v="1742"/>
    <n v="0"/>
    <n v="43392"/>
    <n v="1624"/>
    <n v="0"/>
    <m/>
    <m/>
    <n v="0"/>
    <n v="0"/>
    <m/>
    <m/>
    <m/>
    <m/>
    <m/>
    <m/>
    <m/>
    <m/>
    <m/>
    <m/>
    <m/>
    <m/>
  </r>
  <r>
    <x v="0"/>
    <s v="John C. Calhoun State Community College "/>
    <m/>
    <n v="101514"/>
    <x v="6"/>
    <n v="260777"/>
    <n v="262124"/>
    <n v="204487"/>
    <n v="203325"/>
    <n v="5767"/>
    <n v="5130"/>
    <n v="26187"/>
    <n v="0"/>
    <n v="24336"/>
    <n v="31317"/>
    <n v="0"/>
    <n v="22352"/>
    <m/>
    <m/>
    <n v="0"/>
    <n v="0"/>
    <m/>
    <m/>
    <m/>
    <m/>
    <m/>
    <m/>
    <m/>
    <m/>
    <m/>
    <m/>
    <m/>
    <m/>
  </r>
  <r>
    <x v="0"/>
    <s v="Wallace Community College - Hanceville"/>
    <s v="Reclassified: Met the criteria for Two-Year 1 in 2009-10, 2010-11 and 2011-12."/>
    <n v="101295"/>
    <x v="6"/>
    <n v="173062"/>
    <n v="160667"/>
    <n v="133878"/>
    <n v="124287"/>
    <n v="10663"/>
    <n v="8717"/>
    <n v="28437"/>
    <n v="0"/>
    <n v="84"/>
    <n v="27606"/>
    <n v="0"/>
    <n v="57"/>
    <m/>
    <m/>
    <n v="0"/>
    <n v="0"/>
    <m/>
    <m/>
    <m/>
    <m/>
    <m/>
    <m/>
    <m/>
    <m/>
    <m/>
    <m/>
    <m/>
    <m/>
  </r>
  <r>
    <x v="0"/>
    <s v="Bevill State Community College"/>
    <m/>
    <n v="102429"/>
    <x v="7"/>
    <n v="121792"/>
    <n v="107951"/>
    <n v="34513"/>
    <n v="30859"/>
    <n v="68105"/>
    <n v="56848"/>
    <n v="13954"/>
    <n v="5220"/>
    <n v="0"/>
    <n v="16317"/>
    <n v="3927"/>
    <n v="0"/>
    <m/>
    <m/>
    <n v="0"/>
    <n v="0"/>
    <m/>
    <m/>
    <m/>
    <m/>
    <m/>
    <m/>
    <m/>
    <m/>
    <m/>
    <m/>
    <m/>
    <m/>
  </r>
  <r>
    <x v="0"/>
    <s v="Bishop State Community College"/>
    <s v=" "/>
    <n v="102030"/>
    <x v="7"/>
    <n v="86410"/>
    <n v="90362"/>
    <n v="77376"/>
    <n v="81066"/>
    <n v="1819"/>
    <n v="1131"/>
    <n v="6411"/>
    <n v="0"/>
    <n v="804"/>
    <n v="7055"/>
    <n v="0"/>
    <n v="1110"/>
    <m/>
    <m/>
    <n v="0"/>
    <n v="0"/>
    <m/>
    <m/>
    <m/>
    <m/>
    <m/>
    <m/>
    <m/>
    <m/>
    <m/>
    <m/>
    <m/>
    <m/>
  </r>
  <r>
    <x v="0"/>
    <s v="Central Alabama Community College"/>
    <s v="Reclassified: Met the criteria for Two-Year 2 in 2009-10, 2010-11 and 2011-12."/>
    <n v="100760"/>
    <x v="7"/>
    <n v="66449"/>
    <n v="62427"/>
    <n v="47181"/>
    <n v="41513"/>
    <n v="7299"/>
    <n v="7097"/>
    <n v="11969"/>
    <n v="0"/>
    <n v="0"/>
    <n v="13810"/>
    <n v="0"/>
    <n v="0"/>
    <m/>
    <n v="7"/>
    <n v="0"/>
    <n v="0"/>
    <m/>
    <m/>
    <m/>
    <m/>
    <m/>
    <m/>
    <m/>
    <m/>
    <m/>
    <m/>
    <m/>
    <m/>
  </r>
  <r>
    <x v="0"/>
    <s v="Enterprise State Community College"/>
    <s v="Reclassified: Met the criteria for Two-Year 2 in 2009-10, 2010-11 and 2011-12. Formerly listed as Enterprise-Ozark Community College -- name changed in 2009."/>
    <n v="101143"/>
    <x v="7"/>
    <n v="83509"/>
    <n v="81749"/>
    <n v="64010"/>
    <n v="63546"/>
    <n v="13473"/>
    <n v="11301"/>
    <n v="6026"/>
    <n v="0"/>
    <n v="0"/>
    <n v="6902"/>
    <n v="0"/>
    <n v="0"/>
    <m/>
    <m/>
    <n v="0"/>
    <n v="0"/>
    <m/>
    <m/>
    <m/>
    <m/>
    <m/>
    <m/>
    <m/>
    <m/>
    <m/>
    <m/>
    <m/>
    <m/>
  </r>
  <r>
    <x v="0"/>
    <s v="George C. Wallace State Community College - Dothan"/>
    <m/>
    <n v="101286"/>
    <x v="7"/>
    <n v="126601"/>
    <n v="125259"/>
    <n v="86556"/>
    <n v="84094"/>
    <n v="19383"/>
    <n v="18691"/>
    <n v="20662"/>
    <n v="0"/>
    <n v="0"/>
    <n v="22474"/>
    <n v="0"/>
    <n v="0"/>
    <m/>
    <m/>
    <n v="0"/>
    <n v="0"/>
    <m/>
    <m/>
    <m/>
    <m/>
    <m/>
    <m/>
    <m/>
    <m/>
    <m/>
    <m/>
    <m/>
    <m/>
  </r>
  <r>
    <x v="0"/>
    <s v="James H. Faulkner State Community College"/>
    <m/>
    <n v="101161"/>
    <x v="7"/>
    <n v="118631"/>
    <n v="117734"/>
    <n v="53429"/>
    <n v="51533"/>
    <n v="36131"/>
    <n v="36358"/>
    <n v="20440"/>
    <n v="0"/>
    <n v="8631"/>
    <n v="22120"/>
    <m/>
    <n v="7723"/>
    <m/>
    <m/>
    <n v="0"/>
    <n v="0"/>
    <m/>
    <m/>
    <m/>
    <m/>
    <m/>
    <m/>
    <m/>
    <m/>
    <m/>
    <m/>
    <m/>
    <m/>
  </r>
  <r>
    <x v="0"/>
    <s v="Lawson State Community College "/>
    <m/>
    <n v="101569"/>
    <x v="7"/>
    <n v="116634"/>
    <n v="114397"/>
    <n v="101908"/>
    <n v="100389"/>
    <n v="2948"/>
    <n v="2623"/>
    <n v="11762"/>
    <n v="0"/>
    <n v="16"/>
    <n v="11381"/>
    <n v="0"/>
    <n v="4"/>
    <m/>
    <m/>
    <n v="0"/>
    <n v="0"/>
    <m/>
    <m/>
    <m/>
    <m/>
    <m/>
    <m/>
    <m/>
    <m/>
    <m/>
    <m/>
    <m/>
    <m/>
  </r>
  <r>
    <x v="0"/>
    <s v="Northeast Alabama State Community College "/>
    <m/>
    <n v="101897"/>
    <x v="7"/>
    <n v="89336"/>
    <n v="84621"/>
    <n v="62932"/>
    <n v="58488"/>
    <n v="5581"/>
    <n v="5023"/>
    <n v="20823"/>
    <n v="0"/>
    <n v="0"/>
    <n v="21110"/>
    <n v="0"/>
    <n v="0"/>
    <m/>
    <m/>
    <n v="0"/>
    <n v="0"/>
    <m/>
    <m/>
    <m/>
    <m/>
    <m/>
    <m/>
    <m/>
    <m/>
    <m/>
    <m/>
    <m/>
    <m/>
  </r>
  <r>
    <x v="0"/>
    <s v="Northwest-Shoals Community College"/>
    <m/>
    <n v="101736"/>
    <x v="7"/>
    <n v="105919"/>
    <n v="93839"/>
    <n v="72232"/>
    <n v="83166"/>
    <n v="22230"/>
    <n v="707"/>
    <n v="7467"/>
    <n v="765"/>
    <n v="3225"/>
    <n v="7806"/>
    <n v="420"/>
    <n v="1740"/>
    <m/>
    <m/>
    <n v="0"/>
    <n v="0"/>
    <m/>
    <m/>
    <m/>
    <m/>
    <m/>
    <m/>
    <m/>
    <m/>
    <m/>
    <m/>
    <m/>
    <m/>
  </r>
  <r>
    <x v="0"/>
    <s v="Shelton State Community College"/>
    <m/>
    <n v="102067"/>
    <x v="7"/>
    <n v="155348"/>
    <n v="138645"/>
    <n v="150719"/>
    <n v="132221"/>
    <n v="170"/>
    <n v="253"/>
    <n v="4459"/>
    <n v="0"/>
    <n v="0"/>
    <n v="6171"/>
    <n v="0"/>
    <n v="0"/>
    <m/>
    <m/>
    <n v="0"/>
    <n v="0"/>
    <m/>
    <m/>
    <m/>
    <m/>
    <m/>
    <m/>
    <m/>
    <m/>
    <m/>
    <m/>
    <m/>
    <m/>
  </r>
  <r>
    <x v="0"/>
    <s v="Southern Union State Community College"/>
    <m/>
    <n v="251260"/>
    <x v="7"/>
    <n v="133498"/>
    <n v="133363"/>
    <n v="15692"/>
    <n v="14963"/>
    <n v="97219"/>
    <n v="97480"/>
    <n v="20449"/>
    <n v="138"/>
    <n v="0"/>
    <n v="20233"/>
    <n v="687"/>
    <n v="0"/>
    <m/>
    <m/>
    <n v="0"/>
    <n v="0"/>
    <m/>
    <m/>
    <m/>
    <m/>
    <m/>
    <m/>
    <m/>
    <m/>
    <m/>
    <m/>
    <m/>
    <m/>
  </r>
  <r>
    <x v="0"/>
    <s v="Alabama Southern Community College"/>
    <m/>
    <n v="101949"/>
    <x v="8"/>
    <n v="40476"/>
    <n v="40708"/>
    <n v="13590"/>
    <n v="13481"/>
    <n v="25061"/>
    <n v="25541"/>
    <n v="1795"/>
    <n v="30"/>
    <n v="0"/>
    <n v="1686"/>
    <n v="0"/>
    <n v="0"/>
    <m/>
    <m/>
    <n v="0"/>
    <n v="0"/>
    <m/>
    <m/>
    <m/>
    <m/>
    <m/>
    <m/>
    <m/>
    <m/>
    <m/>
    <m/>
    <m/>
    <m/>
  </r>
  <r>
    <x v="0"/>
    <s v="Chattahoochee Valley State Community College "/>
    <m/>
    <n v="101028"/>
    <x v="8"/>
    <n v="43194"/>
    <n v="42168"/>
    <n v="38435"/>
    <n v="38037"/>
    <n v="72"/>
    <n v="81"/>
    <n v="4687"/>
    <n v="0"/>
    <n v="0"/>
    <n v="4050"/>
    <n v="0"/>
    <n v="0"/>
    <m/>
    <m/>
    <n v="0"/>
    <n v="0"/>
    <m/>
    <m/>
    <m/>
    <m/>
    <m/>
    <m/>
    <m/>
    <m/>
    <m/>
    <m/>
    <m/>
    <m/>
  </r>
  <r>
    <x v="0"/>
    <s v="George Corley Wallace State Community College - Selma"/>
    <s v="Met the criteria for Two-Year 2 in 2011-12."/>
    <n v="101301"/>
    <x v="8"/>
    <n v="59867"/>
    <n v="60847"/>
    <n v="41098"/>
    <n v="39130"/>
    <n v="0"/>
    <n v="0"/>
    <n v="18769"/>
    <n v="0"/>
    <n v="0"/>
    <n v="21717"/>
    <n v="0"/>
    <n v="0"/>
    <m/>
    <m/>
    <n v="0"/>
    <n v="0"/>
    <m/>
    <m/>
    <m/>
    <m/>
    <m/>
    <m/>
    <m/>
    <m/>
    <m/>
    <m/>
    <m/>
    <m/>
  </r>
  <r>
    <x v="0"/>
    <s v="Jefferson Davis Community College"/>
    <m/>
    <n v="101499"/>
    <x v="8"/>
    <n v="35324"/>
    <n v="32301"/>
    <n v="15893"/>
    <n v="13524"/>
    <n v="15180"/>
    <n v="14635"/>
    <n v="3925"/>
    <n v="0"/>
    <n v="326"/>
    <n v="4070"/>
    <n v="0"/>
    <n v="72"/>
    <m/>
    <m/>
    <n v="0"/>
    <n v="0"/>
    <m/>
    <m/>
    <m/>
    <m/>
    <m/>
    <m/>
    <m/>
    <m/>
    <m/>
    <m/>
    <m/>
    <m/>
  </r>
  <r>
    <x v="0"/>
    <s v="Lurleen B. Wallace Community College "/>
    <m/>
    <n v="101602"/>
    <x v="8"/>
    <n v="50595"/>
    <n v="47409"/>
    <n v="39334"/>
    <n v="37114"/>
    <n v="1323"/>
    <n v="1407"/>
    <n v="9551"/>
    <n v="0"/>
    <n v="387"/>
    <n v="8813"/>
    <n v="0"/>
    <n v="75"/>
    <m/>
    <m/>
    <n v="0"/>
    <n v="0"/>
    <m/>
    <m/>
    <m/>
    <m/>
    <m/>
    <m/>
    <m/>
    <m/>
    <m/>
    <m/>
    <m/>
    <m/>
  </r>
  <r>
    <x v="0"/>
    <s v="Snead State Community College "/>
    <m/>
    <n v="102076"/>
    <x v="8"/>
    <n v="63304"/>
    <n v="59737"/>
    <n v="35028"/>
    <n v="32898"/>
    <n v="2902"/>
    <n v="2846"/>
    <n v="24704"/>
    <n v="670"/>
    <n v="0"/>
    <n v="23702"/>
    <n v="291"/>
    <n v="0"/>
    <m/>
    <m/>
    <n v="0"/>
    <n v="0"/>
    <m/>
    <m/>
    <m/>
    <m/>
    <m/>
    <m/>
    <m/>
    <m/>
    <m/>
    <m/>
    <m/>
    <m/>
  </r>
  <r>
    <x v="0"/>
    <s v="Trenholm State Technical College "/>
    <m/>
    <n v="102313"/>
    <x v="9"/>
    <n v="49717"/>
    <n v="49502"/>
    <n v="20000"/>
    <n v="21454"/>
    <n v="25977"/>
    <n v="24646"/>
    <n v="3740"/>
    <n v="0"/>
    <n v="0"/>
    <n v="3402"/>
    <n v="0"/>
    <n v="0"/>
    <m/>
    <m/>
    <n v="0"/>
    <n v="0"/>
    <m/>
    <m/>
    <m/>
    <m/>
    <m/>
    <m/>
    <m/>
    <m/>
    <m/>
    <m/>
    <m/>
    <m/>
  </r>
  <r>
    <x v="0"/>
    <s v="J.F. Drake State Technical College "/>
    <s v="Met the criteria for Technical Institute 1 in 2010-11 and 2011-12."/>
    <n v="101462"/>
    <x v="10"/>
    <n v="35342"/>
    <n v="32146"/>
    <n v="29932"/>
    <n v="24198"/>
    <n v="229"/>
    <n v="671"/>
    <n v="5181"/>
    <n v="0"/>
    <n v="0"/>
    <n v="7277"/>
    <n v="0"/>
    <n v="0"/>
    <m/>
    <m/>
    <n v="0"/>
    <n v="0"/>
    <m/>
    <m/>
    <m/>
    <m/>
    <m/>
    <m/>
    <m/>
    <m/>
    <m/>
    <m/>
    <m/>
    <m/>
  </r>
  <r>
    <x v="0"/>
    <s v="J.F. Ingram State Technical College "/>
    <m/>
    <n v="101471"/>
    <x v="10"/>
    <n v="21172"/>
    <n v="20136"/>
    <n v="6390"/>
    <n v="6321"/>
    <n v="14782"/>
    <n v="13815"/>
    <n v="0"/>
    <n v="0"/>
    <n v="0"/>
    <n v="0"/>
    <n v="0"/>
    <n v="0"/>
    <m/>
    <m/>
    <n v="0"/>
    <n v="0"/>
    <m/>
    <m/>
    <m/>
    <m/>
    <m/>
    <m/>
    <m/>
    <m/>
    <m/>
    <m/>
    <m/>
    <m/>
  </r>
  <r>
    <x v="0"/>
    <s v="Reid State Technical College "/>
    <m/>
    <n v="101994"/>
    <x v="10"/>
    <n v="22821"/>
    <n v="21773"/>
    <n v="20039"/>
    <n v="18744"/>
    <n v="1507"/>
    <n v="1318"/>
    <n v="1275"/>
    <n v="0"/>
    <n v="0"/>
    <n v="1711"/>
    <n v="0"/>
    <n v="0"/>
    <m/>
    <m/>
    <n v="0"/>
    <n v="0"/>
    <m/>
    <m/>
    <m/>
    <m/>
    <m/>
    <m/>
    <m/>
    <m/>
    <m/>
    <m/>
    <m/>
    <m/>
  </r>
  <r>
    <x v="1"/>
    <s v="University of Arkansas, Fayetteville"/>
    <m/>
    <n v="106397"/>
    <x v="0"/>
    <n v="473313"/>
    <n v="525893"/>
    <n v="446738"/>
    <n v="492861"/>
    <n v="11466"/>
    <n v="10230"/>
    <n v="14325"/>
    <n v="604"/>
    <n v="180"/>
    <n v="14694"/>
    <n v="812"/>
    <n v="48"/>
    <m/>
    <n v="7248"/>
    <n v="75584"/>
    <n v="77183"/>
    <n v="57001"/>
    <n v="57218"/>
    <n v="3516"/>
    <n v="3337"/>
    <n v="11380"/>
    <n v="18"/>
    <n v="3669"/>
    <n v="15458"/>
    <n v="0"/>
    <n v="1170"/>
    <m/>
    <n v="0"/>
  </r>
  <r>
    <x v="1"/>
    <s v="Arkansas State University"/>
    <m/>
    <n v="106458"/>
    <x v="2"/>
    <n v="271259"/>
    <n v="276297"/>
    <n v="193882"/>
    <n v="192962"/>
    <n v="25846"/>
    <n v="24717"/>
    <n v="47081"/>
    <n v="4450"/>
    <n v="0"/>
    <n v="54383"/>
    <n v="4124"/>
    <n v="111"/>
    <m/>
    <m/>
    <n v="69309"/>
    <n v="82879"/>
    <n v="23853"/>
    <n v="24591"/>
    <n v="138"/>
    <n v="93"/>
    <n v="44950"/>
    <n v="263"/>
    <n v="105"/>
    <n v="58024"/>
    <n v="66"/>
    <n v="105"/>
    <m/>
    <n v="0"/>
  </r>
  <r>
    <x v="1"/>
    <s v="University of Arkansas at Little Rock"/>
    <m/>
    <n v="106245"/>
    <x v="2"/>
    <n v="232943"/>
    <n v="237224"/>
    <n v="156894"/>
    <n v="158298"/>
    <n v="17874"/>
    <n v="18850"/>
    <n v="58175"/>
    <m/>
    <n v="0"/>
    <n v="60076"/>
    <n v="0"/>
    <n v="0"/>
    <m/>
    <m/>
    <n v="51489"/>
    <n v="50303"/>
    <n v="25970"/>
    <n v="25735"/>
    <n v="13569"/>
    <n v="13455"/>
    <n v="11950"/>
    <n v="0"/>
    <n v="0"/>
    <n v="11113"/>
    <n v="0"/>
    <n v="0"/>
    <m/>
    <n v="0"/>
  </r>
  <r>
    <x v="1"/>
    <s v="University of Central Arkansas "/>
    <m/>
    <n v="106704"/>
    <x v="2"/>
    <n v="274416"/>
    <n v="272034"/>
    <n v="258786"/>
    <n v="258206"/>
    <n v="6177"/>
    <n v="4156"/>
    <n v="4513"/>
    <n v="4240"/>
    <n v="0"/>
    <n v="9096"/>
    <n v="54"/>
    <n v="0"/>
    <n v="700"/>
    <n v="522"/>
    <n v="32999"/>
    <n v="33007"/>
    <n v="23605"/>
    <n v="23206"/>
    <n v="1662"/>
    <n v="780"/>
    <n v="3406"/>
    <n v="4326"/>
    <n v="0"/>
    <n v="6369"/>
    <n v="2652"/>
    <n v="0"/>
    <m/>
    <n v="0"/>
  </r>
  <r>
    <x v="1"/>
    <s v="Arkansas Tech University"/>
    <s v="Met the criteria for Four-Year 3 in 2010-11 and 2011-12."/>
    <n v="106467"/>
    <x v="3"/>
    <n v="208684"/>
    <n v="218204"/>
    <n v="163408"/>
    <n v="163618"/>
    <n v="14672"/>
    <n v="15756"/>
    <n v="30604"/>
    <m/>
    <n v="0"/>
    <n v="38830"/>
    <n v="0"/>
    <n v="0"/>
    <m/>
    <m/>
    <n v="11684"/>
    <n v="13308"/>
    <n v="5676"/>
    <n v="5738"/>
    <n v="1046"/>
    <n v="1371"/>
    <n v="4770"/>
    <n v="192"/>
    <n v="0"/>
    <n v="6181"/>
    <n v="18"/>
    <n v="0"/>
    <m/>
    <n v="0"/>
  </r>
  <r>
    <x v="1"/>
    <s v="Henderson State University"/>
    <m/>
    <n v="107071"/>
    <x v="3"/>
    <n v="93335"/>
    <n v="98042"/>
    <n v="85117"/>
    <n v="88898"/>
    <n v="723"/>
    <n v="910"/>
    <n v="3567"/>
    <n v="3224"/>
    <n v="704"/>
    <n v="8234"/>
    <n v="0"/>
    <n v="0"/>
    <m/>
    <m/>
    <n v="8648"/>
    <n v="7980"/>
    <n v="7097"/>
    <n v="6429"/>
    <n v="1197"/>
    <n v="1065"/>
    <n v="78"/>
    <n v="255"/>
    <n v="21"/>
    <n v="486"/>
    <n v="0"/>
    <n v="0"/>
    <m/>
    <n v="0"/>
  </r>
  <r>
    <x v="1"/>
    <s v="Southern Arkansas University"/>
    <s v="Reclassified: met the criteria for Four-Year 4 in 2009-10, 2010-11 and 2011-12."/>
    <n v="107983"/>
    <x v="3"/>
    <n v="81946"/>
    <n v="83545"/>
    <n v="72159"/>
    <n v="73756"/>
    <n v="2199"/>
    <n v="1819"/>
    <n v="7405"/>
    <n v="183"/>
    <n v="0"/>
    <n v="7904"/>
    <n v="66"/>
    <n v="0"/>
    <m/>
    <m/>
    <n v="8038"/>
    <n v="7548"/>
    <n v="2720"/>
    <n v="2508"/>
    <n v="224"/>
    <n v="201"/>
    <n v="5094"/>
    <n v="0"/>
    <n v="0"/>
    <n v="4839"/>
    <n v="0"/>
    <n v="0"/>
    <m/>
    <n v="0"/>
  </r>
  <r>
    <x v="1"/>
    <s v="University of Arkansas at Monticello"/>
    <m/>
    <n v="106485"/>
    <x v="4"/>
    <n v="70587"/>
    <n v="72002"/>
    <n v="59569"/>
    <n v="59147"/>
    <n v="1124"/>
    <n v="1032"/>
    <n v="7461"/>
    <n v="927"/>
    <n v="1506"/>
    <n v="8475"/>
    <n v="3342"/>
    <n v="0"/>
    <m/>
    <n v="6"/>
    <n v="2591"/>
    <n v="2079"/>
    <n v="1290"/>
    <n v="1019"/>
    <n v="15"/>
    <n v="40"/>
    <n v="1286"/>
    <n v="0"/>
    <n v="0"/>
    <n v="1020"/>
    <n v="0"/>
    <n v="0"/>
    <m/>
    <n v="0"/>
  </r>
  <r>
    <x v="1"/>
    <s v="University of Arkansas at Fort Smith"/>
    <m/>
    <n v="108092"/>
    <x v="5"/>
    <n v="188801"/>
    <n v="191912"/>
    <n v="163192"/>
    <n v="164036"/>
    <n v="2253"/>
    <n v="2533"/>
    <n v="22900"/>
    <n v="456"/>
    <n v="0"/>
    <n v="24758"/>
    <n v="585"/>
    <n v="0"/>
    <m/>
    <m/>
    <n v="0"/>
    <n v="0"/>
    <n v="0"/>
    <n v="0"/>
    <n v="0"/>
    <n v="0"/>
    <n v="0"/>
    <n v="0"/>
    <n v="0"/>
    <n v="0"/>
    <n v="0"/>
    <n v="0"/>
    <m/>
    <n v="0"/>
  </r>
  <r>
    <x v="1"/>
    <s v="University of Arkansas at Pine Bluff"/>
    <m/>
    <n v="106412"/>
    <x v="5"/>
    <n v="95470"/>
    <n v="88755"/>
    <n v="87105"/>
    <n v="80929"/>
    <n v="1627"/>
    <n v="726"/>
    <m/>
    <n v="6738"/>
    <n v="0"/>
    <n v="3210"/>
    <n v="3890"/>
    <n v="0"/>
    <m/>
    <m/>
    <n v="2132"/>
    <n v="1885"/>
    <n v="1715"/>
    <n v="1630"/>
    <n v="0"/>
    <n v="0"/>
    <m/>
    <n v="417"/>
    <m/>
    <n v="114"/>
    <n v="141"/>
    <n v="0"/>
    <m/>
    <n v="0"/>
  </r>
  <r>
    <x v="1"/>
    <s v="Northwest Arkansas Community College "/>
    <s v="Reclassified: Met the criteria for Two-Year 1 in 2009-10, 2010-11 and 2011-12."/>
    <n v="367459"/>
    <x v="6"/>
    <n v="171087"/>
    <n v="174073"/>
    <n v="116236"/>
    <n v="116184"/>
    <n v="19775"/>
    <n v="22131"/>
    <n v="16044"/>
    <n v="18149"/>
    <n v="883"/>
    <n v="35650"/>
    <n v="108"/>
    <n v="0"/>
    <m/>
    <m/>
    <n v="0"/>
    <n v="0"/>
    <n v="0"/>
    <m/>
    <n v="0"/>
    <m/>
    <m/>
    <m/>
    <m/>
    <m/>
    <m/>
    <m/>
    <m/>
    <m/>
  </r>
  <r>
    <x v="1"/>
    <s v="Pulaski Technical College"/>
    <m/>
    <n v="107664"/>
    <x v="6"/>
    <n v="246096"/>
    <n v="261671"/>
    <n v="168189"/>
    <n v="176073"/>
    <n v="0"/>
    <n v="0"/>
    <n v="77907"/>
    <m/>
    <n v="0"/>
    <n v="85598"/>
    <n v="0"/>
    <n v="0"/>
    <m/>
    <m/>
    <n v="0"/>
    <n v="0"/>
    <n v="0"/>
    <m/>
    <n v="0"/>
    <m/>
    <m/>
    <m/>
    <m/>
    <m/>
    <m/>
    <m/>
    <m/>
    <m/>
  </r>
  <r>
    <x v="1"/>
    <s v="Arkansas State University-Beebe"/>
    <m/>
    <n v="106449"/>
    <x v="7"/>
    <n v="106220"/>
    <n v="106239"/>
    <n v="75881"/>
    <n v="73832"/>
    <n v="7938"/>
    <n v="9103"/>
    <n v="22401"/>
    <m/>
    <n v="0"/>
    <n v="23304"/>
    <n v="0"/>
    <n v="0"/>
    <m/>
    <m/>
    <n v="0"/>
    <n v="0"/>
    <n v="0"/>
    <m/>
    <n v="0"/>
    <m/>
    <m/>
    <m/>
    <m/>
    <m/>
    <m/>
    <m/>
    <m/>
    <m/>
  </r>
  <r>
    <x v="1"/>
    <s v="National Park Community College"/>
    <m/>
    <n v="106980"/>
    <x v="7"/>
    <n v="86836"/>
    <n v="86676"/>
    <n v="74118"/>
    <n v="75458"/>
    <n v="3577"/>
    <n v="0"/>
    <n v="3980"/>
    <n v="5161"/>
    <m/>
    <n v="11218"/>
    <n v="0"/>
    <n v="0"/>
    <m/>
    <m/>
    <n v="0"/>
    <n v="0"/>
    <n v="0"/>
    <m/>
    <n v="0"/>
    <m/>
    <m/>
    <m/>
    <m/>
    <m/>
    <m/>
    <m/>
    <m/>
    <m/>
  </r>
  <r>
    <x v="1"/>
    <s v="Arkansas Northeastern College"/>
    <m/>
    <n v="107327"/>
    <x v="8"/>
    <n v="45187"/>
    <n v="41015"/>
    <n v="33733"/>
    <n v="31212"/>
    <n v="3649"/>
    <n v="3522"/>
    <n v="6854"/>
    <n v="951"/>
    <n v="0"/>
    <n v="5795"/>
    <n v="486"/>
    <n v="0"/>
    <m/>
    <m/>
    <n v="0"/>
    <n v="0"/>
    <n v="0"/>
    <m/>
    <n v="0"/>
    <m/>
    <m/>
    <m/>
    <m/>
    <m/>
    <m/>
    <m/>
    <m/>
    <m/>
  </r>
  <r>
    <x v="1"/>
    <s v="Arkansas State University Mountain Home"/>
    <m/>
    <n v="420538"/>
    <x v="8"/>
    <n v="37542"/>
    <n v="35572"/>
    <n v="24556"/>
    <n v="21644"/>
    <n v="1198"/>
    <n v="940"/>
    <n v="11335"/>
    <n v="453"/>
    <n v="0"/>
    <n v="12720"/>
    <n v="268"/>
    <n v="0"/>
    <m/>
    <m/>
    <n v="0"/>
    <n v="0"/>
    <n v="0"/>
    <m/>
    <n v="0"/>
    <m/>
    <m/>
    <m/>
    <m/>
    <m/>
    <m/>
    <m/>
    <m/>
    <m/>
  </r>
  <r>
    <x v="1"/>
    <s v="Arkansas State University-Newport"/>
    <m/>
    <n v="440402"/>
    <x v="8"/>
    <n v="46758"/>
    <n v="44215"/>
    <n v="10605"/>
    <n v="9167"/>
    <n v="17827"/>
    <n v="16768"/>
    <n v="17723"/>
    <n v="603"/>
    <n v="0"/>
    <n v="17035"/>
    <n v="1245"/>
    <n v="0"/>
    <m/>
    <m/>
    <n v="0"/>
    <n v="0"/>
    <n v="0"/>
    <m/>
    <n v="0"/>
    <m/>
    <m/>
    <m/>
    <m/>
    <m/>
    <m/>
    <m/>
    <m/>
    <m/>
  </r>
  <r>
    <x v="1"/>
    <s v="Black River Technical College"/>
    <s v="Met the criteria for Two-Year 2 in 2010-11 and 2011-12."/>
    <n v="106625"/>
    <x v="8"/>
    <n v="60662"/>
    <n v="62967"/>
    <n v="30781"/>
    <n v="30003"/>
    <n v="17554"/>
    <n v="18701"/>
    <n v="10602"/>
    <n v="1725"/>
    <n v="0"/>
    <n v="11938"/>
    <n v="2325"/>
    <n v="0"/>
    <m/>
    <m/>
    <n v="0"/>
    <n v="0"/>
    <n v="0"/>
    <m/>
    <n v="0"/>
    <m/>
    <m/>
    <m/>
    <m/>
    <m/>
    <m/>
    <m/>
    <m/>
    <m/>
  </r>
  <r>
    <x v="1"/>
    <s v="College of the Ouachitas"/>
    <s v="Formerly Ouachita Technical College."/>
    <n v="107521"/>
    <x v="8"/>
    <n v="28831"/>
    <n v="29256"/>
    <n v="21647"/>
    <n v="21984"/>
    <n v="2228"/>
    <n v="2058"/>
    <n v="3671"/>
    <n v="1285"/>
    <m/>
    <n v="5049"/>
    <n v="165"/>
    <n v="0"/>
    <m/>
    <m/>
    <n v="0"/>
    <n v="0"/>
    <n v="0"/>
    <m/>
    <n v="0"/>
    <m/>
    <m/>
    <m/>
    <m/>
    <m/>
    <m/>
    <m/>
    <m/>
    <m/>
  </r>
  <r>
    <x v="1"/>
    <s v="Cossatot Community College of the University of Arkansas"/>
    <m/>
    <n v="106795"/>
    <x v="8"/>
    <n v="32202"/>
    <n v="31651"/>
    <n v="7179"/>
    <n v="7474"/>
    <n v="9939"/>
    <n v="9385"/>
    <n v="11610"/>
    <n v="3474"/>
    <n v="0"/>
    <n v="11364"/>
    <n v="3428"/>
    <n v="0"/>
    <m/>
    <m/>
    <n v="0"/>
    <n v="0"/>
    <n v="0"/>
    <m/>
    <n v="0"/>
    <m/>
    <m/>
    <m/>
    <m/>
    <m/>
    <m/>
    <m/>
    <m/>
    <m/>
  </r>
  <r>
    <x v="1"/>
    <s v="East Arkansas Community College "/>
    <m/>
    <n v="106883"/>
    <x v="8"/>
    <n v="32115"/>
    <n v="29418"/>
    <n v="18957"/>
    <n v="17476"/>
    <n v="6564"/>
    <n v="6563"/>
    <n v="5373"/>
    <n v="1221"/>
    <n v="0"/>
    <n v="4864"/>
    <n v="515"/>
    <n v="0"/>
    <m/>
    <m/>
    <n v="0"/>
    <n v="0"/>
    <n v="0"/>
    <m/>
    <n v="0"/>
    <m/>
    <m/>
    <m/>
    <m/>
    <m/>
    <m/>
    <m/>
    <m/>
    <m/>
  </r>
  <r>
    <x v="1"/>
    <s v="Mid-South Community College "/>
    <m/>
    <n v="107318"/>
    <x v="8"/>
    <n v="43515"/>
    <n v="38654"/>
    <n v="40723"/>
    <n v="35966"/>
    <n v="637"/>
    <n v="541"/>
    <n v="2155"/>
    <m/>
    <m/>
    <n v="2147"/>
    <n v="0"/>
    <n v="0"/>
    <m/>
    <m/>
    <n v="0"/>
    <n v="0"/>
    <n v="0"/>
    <m/>
    <n v="0"/>
    <m/>
    <m/>
    <m/>
    <m/>
    <m/>
    <m/>
    <m/>
    <m/>
    <m/>
  </r>
  <r>
    <x v="1"/>
    <s v="North Arkansas College"/>
    <m/>
    <n v="107460"/>
    <x v="8"/>
    <n v="56913"/>
    <n v="56323"/>
    <n v="50019"/>
    <n v="48094"/>
    <n v="2457"/>
    <n v="2761"/>
    <n v="4437"/>
    <m/>
    <m/>
    <n v="5468"/>
    <n v="0"/>
    <n v="0"/>
    <m/>
    <m/>
    <n v="0"/>
    <n v="0"/>
    <n v="0"/>
    <m/>
    <n v="0"/>
    <m/>
    <m/>
    <m/>
    <m/>
    <m/>
    <m/>
    <m/>
    <m/>
    <m/>
  </r>
  <r>
    <x v="1"/>
    <s v="Ozarka College "/>
    <m/>
    <n v="107549"/>
    <x v="8"/>
    <n v="33890"/>
    <n v="38954"/>
    <n v="21744"/>
    <n v="23560"/>
    <n v="1824"/>
    <n v="1633"/>
    <n v="8263"/>
    <n v="2059"/>
    <m/>
    <n v="12321"/>
    <n v="1440"/>
    <n v="0"/>
    <m/>
    <m/>
    <n v="0"/>
    <n v="0"/>
    <n v="0"/>
    <m/>
    <n v="0"/>
    <m/>
    <m/>
    <m/>
    <m/>
    <m/>
    <m/>
    <m/>
    <m/>
    <m/>
  </r>
  <r>
    <x v="1"/>
    <s v="Phillips Community College of the Univ of Arkansas"/>
    <m/>
    <n v="107619"/>
    <x v="8"/>
    <n v="41430"/>
    <n v="40016"/>
    <n v="36982"/>
    <n v="35892"/>
    <n v="0"/>
    <n v="0"/>
    <n v="2932"/>
    <n v="1428"/>
    <n v="88"/>
    <n v="2877"/>
    <n v="1011"/>
    <n v="236"/>
    <m/>
    <m/>
    <n v="0"/>
    <n v="0"/>
    <n v="0"/>
    <m/>
    <n v="0"/>
    <m/>
    <m/>
    <m/>
    <m/>
    <m/>
    <m/>
    <m/>
    <m/>
    <m/>
  </r>
  <r>
    <x v="1"/>
    <s v="Rich Mountain Community College "/>
    <m/>
    <n v="107743"/>
    <x v="8"/>
    <n v="20112"/>
    <n v="20833"/>
    <n v="13667"/>
    <n v="11925"/>
    <n v="4577"/>
    <n v="5078"/>
    <n v="1478"/>
    <n v="126"/>
    <n v="264"/>
    <n v="3623"/>
    <n v="207"/>
    <n v="0"/>
    <m/>
    <m/>
    <n v="0"/>
    <n v="0"/>
    <n v="0"/>
    <m/>
    <n v="0"/>
    <m/>
    <m/>
    <m/>
    <m/>
    <m/>
    <m/>
    <m/>
    <m/>
    <m/>
  </r>
  <r>
    <x v="1"/>
    <s v="South Arkansas Community College"/>
    <m/>
    <n v="107974"/>
    <x v="8"/>
    <n v="40831"/>
    <n v="41745"/>
    <n v="33339"/>
    <n v="33028"/>
    <n v="180"/>
    <n v="807"/>
    <n v="7312"/>
    <m/>
    <m/>
    <n v="7859"/>
    <n v="0"/>
    <n v="0"/>
    <m/>
    <n v="51"/>
    <n v="0"/>
    <n v="0"/>
    <n v="0"/>
    <m/>
    <n v="0"/>
    <m/>
    <m/>
    <m/>
    <m/>
    <m/>
    <m/>
    <m/>
    <m/>
    <m/>
  </r>
  <r>
    <x v="1"/>
    <s v="Southeast Arkansas College"/>
    <m/>
    <n v="107637"/>
    <x v="8"/>
    <n v="49137"/>
    <n v="46869"/>
    <n v="42484"/>
    <n v="39854"/>
    <n v="2381"/>
    <n v="2808"/>
    <n v="4272"/>
    <m/>
    <m/>
    <n v="4207"/>
    <n v="0"/>
    <n v="0"/>
    <m/>
    <m/>
    <n v="0"/>
    <n v="0"/>
    <n v="0"/>
    <m/>
    <n v="0"/>
    <m/>
    <m/>
    <m/>
    <m/>
    <m/>
    <m/>
    <m/>
    <m/>
    <m/>
  </r>
  <r>
    <x v="1"/>
    <s v="Southern Arkansas University Tech"/>
    <m/>
    <n v="107992"/>
    <x v="8"/>
    <n v="39285"/>
    <n v="42257"/>
    <n v="17445"/>
    <n v="18096"/>
    <n v="11619"/>
    <n v="14516"/>
    <m/>
    <n v="10221"/>
    <m/>
    <n v="9645"/>
    <n v="0"/>
    <n v="0"/>
    <m/>
    <m/>
    <n v="0"/>
    <n v="0"/>
    <n v="0"/>
    <m/>
    <n v="0"/>
    <m/>
    <m/>
    <m/>
    <m/>
    <m/>
    <m/>
    <m/>
    <m/>
    <m/>
  </r>
  <r>
    <x v="1"/>
    <s v="University of Arkansas Community College at Batesville"/>
    <m/>
    <n v="106999"/>
    <x v="8"/>
    <n v="41477"/>
    <n v="38625"/>
    <n v="34434"/>
    <n v="30402"/>
    <n v="534"/>
    <n v="1310"/>
    <n v="6509"/>
    <m/>
    <m/>
    <n v="6913"/>
    <n v="0"/>
    <n v="0"/>
    <m/>
    <m/>
    <n v="0"/>
    <n v="0"/>
    <n v="0"/>
    <m/>
    <n v="0"/>
    <m/>
    <m/>
    <m/>
    <m/>
    <m/>
    <m/>
    <m/>
    <m/>
    <m/>
  </r>
  <r>
    <x v="1"/>
    <s v="University of Arkansas Community College at Hope"/>
    <m/>
    <n v="107725"/>
    <x v="8"/>
    <n v="34577"/>
    <n v="31481"/>
    <n v="34556"/>
    <n v="31220"/>
    <n v="0"/>
    <n v="0"/>
    <n v="3"/>
    <n v="18"/>
    <m/>
    <n v="9"/>
    <n v="252"/>
    <n v="0"/>
    <m/>
    <m/>
    <n v="0"/>
    <n v="0"/>
    <n v="0"/>
    <m/>
    <n v="0"/>
    <m/>
    <m/>
    <m/>
    <m/>
    <m/>
    <m/>
    <m/>
    <m/>
    <m/>
  </r>
  <r>
    <x v="1"/>
    <s v="University of Arkansas Community College at Morrilton"/>
    <m/>
    <n v="107585"/>
    <x v="8"/>
    <n v="58656"/>
    <n v="57941"/>
    <n v="56063"/>
    <n v="55241"/>
    <n v="0"/>
    <n v="0"/>
    <n v="2593"/>
    <m/>
    <m/>
    <n v="2700"/>
    <n v="0"/>
    <n v="0"/>
    <m/>
    <m/>
    <n v="0"/>
    <n v="0"/>
    <n v="0"/>
    <m/>
    <n v="0"/>
    <m/>
    <m/>
    <m/>
    <m/>
    <m/>
    <m/>
    <m/>
    <m/>
    <m/>
  </r>
  <r>
    <x v="2"/>
    <s v="University of Delaware"/>
    <m/>
    <n v="130943"/>
    <x v="0"/>
    <n v="519545"/>
    <n v="525599"/>
    <n v="501354"/>
    <n v="509681"/>
    <m/>
    <m/>
    <n v="18191"/>
    <n v="0"/>
    <n v="0"/>
    <n v="15918"/>
    <n v="0"/>
    <n v="0"/>
    <n v="0"/>
    <n v="0"/>
    <n v="54654"/>
    <n v="51744"/>
    <n v="51222"/>
    <n v="48822"/>
    <m/>
    <m/>
    <n v="3303"/>
    <n v="129"/>
    <n v="0"/>
    <n v="2922"/>
    <n v="0"/>
    <n v="0"/>
    <n v="0"/>
    <n v="0"/>
  </r>
  <r>
    <x v="2"/>
    <s v="Delaware State University"/>
    <s v="Met the criteria for Four-Year 3 in 2010-11 and 2011-12."/>
    <n v="130934"/>
    <x v="3"/>
    <n v="105469"/>
    <n v="105618"/>
    <n v="105373"/>
    <n v="103887"/>
    <m/>
    <m/>
    <n v="96"/>
    <n v="0"/>
    <n v="0"/>
    <n v="1731"/>
    <n v="0"/>
    <n v="0"/>
    <m/>
    <m/>
    <n v="8878"/>
    <n v="11247"/>
    <n v="8851"/>
    <n v="7767"/>
    <m/>
    <m/>
    <n v="27"/>
    <m/>
    <m/>
    <n v="3480"/>
    <n v="0"/>
    <m/>
    <m/>
    <m/>
  </r>
  <r>
    <x v="2"/>
    <s v="Delaware Technical and Community College--Stanton-Wilmington"/>
    <s v="Reclassified: Met the criteria for Two-Year 1 in 2009-10, 2010-11 and 2011-12."/>
    <n v="130916"/>
    <x v="6"/>
    <n v="162690"/>
    <n v="157752"/>
    <n v="145885"/>
    <n v="136779"/>
    <m/>
    <m/>
    <n v="12639"/>
    <n v="189"/>
    <n v="3977"/>
    <n v="13550"/>
    <n v="276"/>
    <n v="7147"/>
    <m/>
    <m/>
    <n v="0"/>
    <n v="0"/>
    <m/>
    <m/>
    <m/>
    <m/>
    <m/>
    <m/>
    <m/>
    <m/>
    <m/>
    <m/>
    <m/>
    <m/>
  </r>
  <r>
    <x v="2"/>
    <s v="Delaware Technical and Community College--Owens"/>
    <m/>
    <n v="130891"/>
    <x v="7"/>
    <n v="106464"/>
    <n v="104175"/>
    <n v="90030"/>
    <n v="85980"/>
    <m/>
    <m/>
    <n v="14347"/>
    <n v="341"/>
    <n v="1746"/>
    <n v="14675"/>
    <n v="379"/>
    <n v="3141"/>
    <m/>
    <m/>
    <n v="0"/>
    <n v="0"/>
    <m/>
    <m/>
    <m/>
    <m/>
    <m/>
    <m/>
    <m/>
    <m/>
    <m/>
    <m/>
    <m/>
    <m/>
  </r>
  <r>
    <x v="2"/>
    <s v="Delaware Technical and Community College--Terry"/>
    <m/>
    <n v="130907"/>
    <x v="7"/>
    <n v="74345"/>
    <n v="74593"/>
    <n v="60156"/>
    <n v="58755"/>
    <m/>
    <m/>
    <n v="8114"/>
    <n v="97"/>
    <n v="5978"/>
    <n v="9412"/>
    <n v="131"/>
    <n v="6295"/>
    <m/>
    <m/>
    <n v="0"/>
    <n v="0"/>
    <m/>
    <m/>
    <m/>
    <m/>
    <m/>
    <m/>
    <m/>
    <m/>
    <m/>
    <m/>
    <m/>
    <m/>
  </r>
  <r>
    <x v="3"/>
    <s v="Florida International University"/>
    <m/>
    <n v="133951"/>
    <x v="0"/>
    <n v="897265"/>
    <n v="980018"/>
    <n v="591080"/>
    <n v="626050"/>
    <n v="154504"/>
    <n v="157723"/>
    <n v="150251"/>
    <m/>
    <n v="1430"/>
    <n v="193967"/>
    <m/>
    <n v="2278"/>
    <m/>
    <m/>
    <n v="174422"/>
    <n v="188255"/>
    <n v="120310"/>
    <n v="123627"/>
    <n v="34619"/>
    <n v="29986"/>
    <n v="18941"/>
    <m/>
    <n v="552"/>
    <n v="34159"/>
    <m/>
    <n v="483"/>
    <m/>
    <m/>
  </r>
  <r>
    <x v="3"/>
    <s v="Florida State University "/>
    <m/>
    <n v="134097"/>
    <x v="0"/>
    <n v="972297"/>
    <n v="1008210"/>
    <n v="827082"/>
    <n v="838335"/>
    <n v="64350"/>
    <n v="66443"/>
    <n v="31723"/>
    <m/>
    <n v="49142"/>
    <n v="40110"/>
    <m/>
    <n v="63322"/>
    <m/>
    <m/>
    <n v="184136"/>
    <n v="185434"/>
    <n v="147674"/>
    <n v="151416"/>
    <n v="9717"/>
    <n v="10318"/>
    <n v="25533"/>
    <m/>
    <n v="1212"/>
    <n v="22623"/>
    <m/>
    <n v="1077"/>
    <m/>
    <m/>
  </r>
  <r>
    <x v="3"/>
    <s v="University of Central Florida "/>
    <m/>
    <n v="132903"/>
    <x v="0"/>
    <n v="1281797"/>
    <n v="1343366"/>
    <n v="854188"/>
    <n v="827028"/>
    <n v="99536"/>
    <n v="101814"/>
    <n v="319467"/>
    <n v="1758"/>
    <n v="6848"/>
    <n v="414524"/>
    <m/>
    <m/>
    <m/>
    <m/>
    <n v="140449"/>
    <n v="142457"/>
    <n v="76050"/>
    <n v="73305.5"/>
    <n v="12844"/>
    <n v="12216.5"/>
    <n v="49893"/>
    <n v="156"/>
    <n v="1506"/>
    <n v="56935"/>
    <m/>
    <m/>
    <m/>
    <m/>
  </r>
  <r>
    <x v="3"/>
    <s v="University of Florida"/>
    <m/>
    <n v="134130"/>
    <x v="0"/>
    <n v="983555"/>
    <n v="953541"/>
    <n v="749194"/>
    <n v="815465"/>
    <m/>
    <m/>
    <n v="126058"/>
    <n v="346"/>
    <n v="101235"/>
    <n v="114854"/>
    <m/>
    <n v="17169"/>
    <n v="6722"/>
    <n v="6053"/>
    <n v="357500"/>
    <n v="317112"/>
    <n v="265398"/>
    <n v="265271"/>
    <n v="30"/>
    <m/>
    <n v="47167"/>
    <n v="505"/>
    <n v="44283"/>
    <n v="45713"/>
    <m/>
    <n v="6128"/>
    <n v="117"/>
    <m/>
  </r>
  <r>
    <x v="3"/>
    <s v="University of South Florida "/>
    <m/>
    <n v="137351"/>
    <x v="0"/>
    <n v="1011653"/>
    <n v="1017967"/>
    <n v="676590"/>
    <n v="668322"/>
    <n v="123581"/>
    <n v="122188"/>
    <n v="204478"/>
    <n v="337"/>
    <n v="6667"/>
    <n v="221485"/>
    <m/>
    <n v="5972"/>
    <m/>
    <m/>
    <n v="188864"/>
    <n v="185896"/>
    <n v="119238"/>
    <n v="127463"/>
    <n v="25920"/>
    <n v="16823"/>
    <n v="43673"/>
    <m/>
    <n v="33"/>
    <n v="41610"/>
    <m/>
    <m/>
    <m/>
    <m/>
  </r>
  <r>
    <x v="3"/>
    <s v="Florida Atlantic University "/>
    <m/>
    <n v="133669"/>
    <x v="1"/>
    <n v="570235"/>
    <n v="599677"/>
    <n v="425119"/>
    <n v="453166"/>
    <n v="108075"/>
    <n v="101742"/>
    <n v="32865"/>
    <n v="1870"/>
    <n v="2306"/>
    <n v="43380"/>
    <m/>
    <n v="1389"/>
    <m/>
    <m/>
    <n v="80819"/>
    <n v="78558"/>
    <n v="46326"/>
    <n v="47144"/>
    <n v="14834"/>
    <n v="12530"/>
    <n v="17682"/>
    <n v="789"/>
    <n v="1188"/>
    <n v="17717"/>
    <m/>
    <n v="1167"/>
    <m/>
    <m/>
  </r>
  <r>
    <x v="3"/>
    <s v="Florida Agricultural &amp; Mechanical University "/>
    <s v="Met the criteria for Four-Year 2 in 2011-12."/>
    <n v="133650"/>
    <x v="2"/>
    <n v="325761"/>
    <n v="324142"/>
    <n v="321906"/>
    <n v="321294"/>
    <n v="3796"/>
    <n v="2740"/>
    <m/>
    <m/>
    <n v="59"/>
    <n v="108"/>
    <m/>
    <m/>
    <m/>
    <m/>
    <n v="49743"/>
    <n v="50148"/>
    <n v="31978"/>
    <n v="30345"/>
    <n v="17765"/>
    <n v="19327"/>
    <m/>
    <m/>
    <m/>
    <n v="476"/>
    <m/>
    <m/>
    <m/>
    <m/>
  </r>
  <r>
    <x v="3"/>
    <s v="University of North Florida"/>
    <m/>
    <n v="136172"/>
    <x v="2"/>
    <n v="379860"/>
    <n v="382476"/>
    <n v="360615"/>
    <n v="358792"/>
    <n v="4476"/>
    <n v="3819"/>
    <n v="14769"/>
    <m/>
    <m/>
    <n v="19841"/>
    <m/>
    <n v="24"/>
    <m/>
    <m/>
    <n v="33015"/>
    <n v="32544"/>
    <n v="26686"/>
    <n v="27219"/>
    <n v="3236"/>
    <n v="2097"/>
    <n v="3093"/>
    <m/>
    <m/>
    <n v="3228"/>
    <m/>
    <m/>
    <m/>
    <m/>
  </r>
  <r>
    <x v="3"/>
    <s v="University of West Florida"/>
    <m/>
    <n v="138354"/>
    <x v="2"/>
    <n v="247942"/>
    <n v="255719.5"/>
    <n v="128685"/>
    <n v="130788.5"/>
    <n v="3288"/>
    <n v="2234"/>
    <n v="108181"/>
    <n v="452"/>
    <n v="7336"/>
    <n v="108087"/>
    <m/>
    <n v="14610"/>
    <m/>
    <m/>
    <n v="31484"/>
    <n v="31883.5"/>
    <n v="7934"/>
    <n v="8739.5"/>
    <n v="402"/>
    <n v="312"/>
    <n v="20592"/>
    <n v="231"/>
    <n v="2325"/>
    <n v="19723"/>
    <m/>
    <n v="3109"/>
    <m/>
    <m/>
  </r>
  <r>
    <x v="3"/>
    <s v="Florida Gulf Coast University"/>
    <m/>
    <n v="433660"/>
    <x v="3"/>
    <n v="268823"/>
    <n v="288563"/>
    <n v="211054"/>
    <n v="230793"/>
    <n v="5973"/>
    <n v="7617"/>
    <n v="51796"/>
    <m/>
    <m/>
    <n v="50153"/>
    <m/>
    <m/>
    <m/>
    <m/>
    <n v="24078"/>
    <n v="23963"/>
    <n v="12553"/>
    <n v="12943"/>
    <n v="1376"/>
    <n v="1639"/>
    <n v="10149"/>
    <m/>
    <m/>
    <n v="9381"/>
    <m/>
    <m/>
    <m/>
    <m/>
  </r>
  <r>
    <x v="3"/>
    <s v="New College of Florida"/>
    <m/>
    <n v="262129"/>
    <x v="5"/>
    <n v="27680"/>
    <n v="28208"/>
    <n v="27680"/>
    <n v="28208"/>
    <m/>
    <m/>
    <m/>
    <m/>
    <m/>
    <m/>
    <m/>
    <m/>
    <m/>
    <m/>
    <n v="0"/>
    <n v="0"/>
    <m/>
    <m/>
    <m/>
    <m/>
    <m/>
    <m/>
    <m/>
    <m/>
    <m/>
    <m/>
    <m/>
    <m/>
  </r>
  <r>
    <x v="3"/>
    <s v="Chipola College "/>
    <m/>
    <n v="133021"/>
    <x v="11"/>
    <n v="46218"/>
    <n v="46079"/>
    <n v="17236"/>
    <n v="10067"/>
    <n v="1150"/>
    <n v="1709"/>
    <n v="3576"/>
    <n v="0"/>
    <n v="15952"/>
    <n v="6298"/>
    <n v="0"/>
    <n v="28002"/>
    <n v="8304"/>
    <n v="3"/>
    <n v="0"/>
    <n v="0"/>
    <m/>
    <m/>
    <m/>
    <m/>
    <m/>
    <m/>
    <m/>
    <m/>
    <m/>
    <m/>
    <m/>
    <m/>
  </r>
  <r>
    <x v="3"/>
    <s v="Daytona State College "/>
    <m/>
    <n v="133386"/>
    <x v="11"/>
    <n v="403847"/>
    <n v="377587"/>
    <n v="318148"/>
    <n v="281729"/>
    <n v="7"/>
    <n v="0"/>
    <n v="85480"/>
    <n v="0"/>
    <n v="212"/>
    <n v="95837"/>
    <n v="0"/>
    <n v="21"/>
    <n v="0"/>
    <n v="0"/>
    <n v="0"/>
    <n v="0"/>
    <m/>
    <m/>
    <m/>
    <m/>
    <m/>
    <m/>
    <m/>
    <m/>
    <m/>
    <m/>
    <m/>
    <m/>
  </r>
  <r>
    <x v="3"/>
    <s v="Edison State College "/>
    <m/>
    <n v="133508"/>
    <x v="11"/>
    <n v="360927"/>
    <n v="365357"/>
    <n v="286589"/>
    <n v="282235"/>
    <n v="12937"/>
    <n v="12797"/>
    <n v="48140"/>
    <n v="30"/>
    <n v="5867"/>
    <n v="54151"/>
    <n v="108"/>
    <n v="9097"/>
    <n v="7364"/>
    <n v="6969"/>
    <n v="0"/>
    <n v="0"/>
    <m/>
    <m/>
    <m/>
    <m/>
    <m/>
    <m/>
    <m/>
    <m/>
    <m/>
    <m/>
    <m/>
    <m/>
  </r>
  <r>
    <x v="3"/>
    <s v="Florida State College at Jacksonville"/>
    <s v="Reclassified: met the criteria for Two-Year with Bachelor's in 2009-10, 2010-11 and 2011-12."/>
    <n v="133702"/>
    <x v="11"/>
    <n v="668206"/>
    <n v="682953"/>
    <n v="381648"/>
    <n v="377862"/>
    <n v="11706"/>
    <n v="8017"/>
    <n v="217457"/>
    <n v="0"/>
    <n v="57395"/>
    <n v="297074"/>
    <n v="0"/>
    <n v="0"/>
    <n v="0"/>
    <n v="0"/>
    <n v="0"/>
    <n v="0"/>
    <m/>
    <m/>
    <m/>
    <m/>
    <m/>
    <m/>
    <m/>
    <m/>
    <m/>
    <m/>
    <m/>
    <m/>
  </r>
  <r>
    <x v="3"/>
    <s v="Indian River State College "/>
    <s v="Reclassified: met the criteria for Two-Year with Bachelor's in 2009-10, 2010-11 and 2011-12."/>
    <n v="134608"/>
    <x v="11"/>
    <n v="335103"/>
    <n v="341318"/>
    <n v="246610"/>
    <n v="248045"/>
    <n v="11556"/>
    <n v="10489"/>
    <n v="57764"/>
    <n v="2805"/>
    <n v="16139"/>
    <n v="61964"/>
    <n v="0"/>
    <n v="20468"/>
    <n v="229"/>
    <n v="352"/>
    <n v="0"/>
    <n v="0"/>
    <m/>
    <m/>
    <m/>
    <m/>
    <m/>
    <m/>
    <m/>
    <m/>
    <m/>
    <m/>
    <m/>
    <m/>
  </r>
  <r>
    <x v="3"/>
    <s v="Miami Dade College "/>
    <m/>
    <n v="135717"/>
    <x v="11"/>
    <n v="1571735"/>
    <n v="1654124"/>
    <n v="1423962"/>
    <n v="1203140"/>
    <n v="16409"/>
    <n v="12930"/>
    <n v="103467"/>
    <n v="0"/>
    <n v="27897"/>
    <n v="397912"/>
    <n v="0"/>
    <n v="40142"/>
    <n v="0"/>
    <n v="0"/>
    <n v="0"/>
    <n v="0"/>
    <m/>
    <m/>
    <m/>
    <m/>
    <m/>
    <m/>
    <m/>
    <m/>
    <m/>
    <m/>
    <m/>
    <m/>
  </r>
  <r>
    <x v="3"/>
    <s v="Northwest Florida State College"/>
    <m/>
    <n v="136233"/>
    <x v="11"/>
    <n v="167455"/>
    <n v="162396"/>
    <n v="102950"/>
    <n v="97094"/>
    <n v="19156"/>
    <n v="17614"/>
    <n v="22421"/>
    <n v="0"/>
    <n v="11157"/>
    <n v="24364"/>
    <n v="0"/>
    <n v="13640"/>
    <n v="11771"/>
    <n v="9684"/>
    <n v="0"/>
    <n v="0"/>
    <m/>
    <m/>
    <m/>
    <m/>
    <m/>
    <m/>
    <m/>
    <m/>
    <m/>
    <m/>
    <m/>
    <m/>
  </r>
  <r>
    <x v="3"/>
    <s v="St. Petersburg College "/>
    <m/>
    <n v="137078"/>
    <x v="11"/>
    <n v="649907"/>
    <n v="679694"/>
    <n v="362169"/>
    <n v="365714"/>
    <n v="0"/>
    <n v="0"/>
    <n v="230083"/>
    <n v="540"/>
    <n v="54084"/>
    <n v="254204"/>
    <n v="426"/>
    <n v="54550"/>
    <n v="3031"/>
    <n v="4800"/>
    <n v="0"/>
    <n v="0"/>
    <m/>
    <m/>
    <m/>
    <m/>
    <m/>
    <m/>
    <m/>
    <m/>
    <m/>
    <m/>
    <m/>
    <m/>
  </r>
  <r>
    <x v="3"/>
    <s v="Brevard Community College "/>
    <m/>
    <n v="132693"/>
    <x v="6"/>
    <n v="360629"/>
    <n v="372944"/>
    <n v="226058"/>
    <n v="219853"/>
    <n v="9299"/>
    <n v="7202"/>
    <n v="110135"/>
    <n v="0"/>
    <n v="15137"/>
    <n v="111667"/>
    <n v="0"/>
    <n v="34222"/>
    <n v="0"/>
    <n v="0"/>
    <n v="0"/>
    <n v="0"/>
    <m/>
    <m/>
    <m/>
    <m/>
    <m/>
    <m/>
    <m/>
    <m/>
    <m/>
    <m/>
    <m/>
    <m/>
  </r>
  <r>
    <x v="3"/>
    <s v="Broward College "/>
    <s v="Met the criteria for Two-Year with Bachelor's in 2011-12."/>
    <n v="132709"/>
    <x v="6"/>
    <n v="870553"/>
    <n v="921681"/>
    <n v="684329"/>
    <n v="694714"/>
    <n v="51796"/>
    <n v="58276"/>
    <n v="77703"/>
    <n v="1084"/>
    <n v="53505"/>
    <n v="93235"/>
    <n v="1035"/>
    <n v="73014"/>
    <n v="2136"/>
    <n v="1407"/>
    <n v="0"/>
    <n v="0"/>
    <m/>
    <m/>
    <m/>
    <m/>
    <m/>
    <m/>
    <m/>
    <m/>
    <m/>
    <m/>
    <m/>
    <m/>
  </r>
  <r>
    <x v="3"/>
    <s v="College of Central Florida"/>
    <m/>
    <n v="132851"/>
    <x v="6"/>
    <n v="179067"/>
    <n v="184131"/>
    <n v="137662"/>
    <n v="129758"/>
    <n v="0"/>
    <n v="0"/>
    <n v="32997"/>
    <n v="0"/>
    <n v="8408"/>
    <n v="42119"/>
    <n v="0"/>
    <n v="12254"/>
    <n v="0"/>
    <n v="0"/>
    <n v="0"/>
    <n v="0"/>
    <m/>
    <m/>
    <m/>
    <m/>
    <m/>
    <m/>
    <m/>
    <m/>
    <m/>
    <m/>
    <m/>
    <m/>
  </r>
  <r>
    <x v="3"/>
    <s v="Hillsborough Community College "/>
    <m/>
    <n v="134495"/>
    <x v="6"/>
    <n v="591140"/>
    <n v="603772"/>
    <n v="491367"/>
    <n v="474178"/>
    <n v="14673"/>
    <n v="14273"/>
    <n v="61044"/>
    <n v="0"/>
    <n v="24056"/>
    <n v="69571"/>
    <n v="0"/>
    <n v="45750"/>
    <n v="0"/>
    <n v="0"/>
    <n v="0"/>
    <n v="0"/>
    <m/>
    <m/>
    <m/>
    <m/>
    <m/>
    <m/>
    <m/>
    <m/>
    <m/>
    <m/>
    <m/>
    <m/>
  </r>
  <r>
    <x v="3"/>
    <s v="Palm Beach State College "/>
    <s v="Met the criteria for Two-Year with Bachelor's in 2011-12."/>
    <n v="136358"/>
    <x v="6"/>
    <n v="566788"/>
    <n v="592459"/>
    <n v="445259"/>
    <n v="464781"/>
    <n v="11941"/>
    <n v="12088"/>
    <n v="79376"/>
    <n v="714"/>
    <n v="29498"/>
    <n v="100613"/>
    <n v="1947"/>
    <n v="13030"/>
    <n v="0"/>
    <n v="0"/>
    <n v="0"/>
    <n v="0"/>
    <m/>
    <m/>
    <m/>
    <m/>
    <m/>
    <m/>
    <m/>
    <m/>
    <m/>
    <m/>
    <m/>
    <m/>
  </r>
  <r>
    <x v="3"/>
    <s v="Pasco-Hernando Community College "/>
    <m/>
    <n v="136400"/>
    <x v="6"/>
    <n v="211011"/>
    <n v="222781"/>
    <n v="174539"/>
    <n v="179472"/>
    <n v="5466"/>
    <n v="7663"/>
    <n v="30401"/>
    <n v="0"/>
    <n v="605"/>
    <n v="35150"/>
    <n v="0"/>
    <n v="496"/>
    <n v="0"/>
    <n v="0"/>
    <n v="0"/>
    <n v="0"/>
    <m/>
    <m/>
    <m/>
    <m/>
    <m/>
    <m/>
    <m/>
    <m/>
    <m/>
    <m/>
    <m/>
    <m/>
  </r>
  <r>
    <x v="3"/>
    <s v="Pensacola State College "/>
    <m/>
    <n v="136473"/>
    <x v="6"/>
    <n v="245092"/>
    <n v="252635"/>
    <n v="196410"/>
    <n v="196934"/>
    <n v="10437"/>
    <n v="11484"/>
    <n v="34726"/>
    <n v="0"/>
    <n v="3519"/>
    <n v="37524"/>
    <n v="0"/>
    <n v="6693"/>
    <n v="0"/>
    <n v="0"/>
    <n v="0"/>
    <n v="0"/>
    <m/>
    <m/>
    <m/>
    <m/>
    <m/>
    <m/>
    <m/>
    <m/>
    <m/>
    <m/>
    <m/>
    <m/>
  </r>
  <r>
    <x v="3"/>
    <s v="Polk State College "/>
    <s v="Met the criteria for Two-Year with Bachelor's in 2011-12."/>
    <n v="136516"/>
    <x v="6"/>
    <n v="206465"/>
    <n v="219030"/>
    <n v="157717"/>
    <n v="156282"/>
    <n v="11291"/>
    <n v="13405"/>
    <n v="26838"/>
    <n v="0"/>
    <n v="10619"/>
    <n v="35600"/>
    <n v="0"/>
    <n v="13743"/>
    <n v="0"/>
    <n v="0"/>
    <n v="0"/>
    <n v="0"/>
    <m/>
    <m/>
    <m/>
    <m/>
    <m/>
    <m/>
    <m/>
    <m/>
    <m/>
    <m/>
    <m/>
    <m/>
  </r>
  <r>
    <x v="3"/>
    <s v="Santa Fe College "/>
    <m/>
    <n v="137096"/>
    <x v="6"/>
    <n v="359098"/>
    <n v="363960"/>
    <n v="276151"/>
    <n v="268875"/>
    <n v="3887"/>
    <n v="4423"/>
    <n v="58580"/>
    <n v="0"/>
    <n v="20480"/>
    <n v="65615"/>
    <n v="0"/>
    <n v="25047"/>
    <n v="0"/>
    <n v="0"/>
    <n v="0"/>
    <n v="0"/>
    <m/>
    <m/>
    <m/>
    <m/>
    <m/>
    <m/>
    <m/>
    <m/>
    <m/>
    <m/>
    <m/>
    <m/>
  </r>
  <r>
    <x v="3"/>
    <s v="Seminole State College of Florida"/>
    <m/>
    <n v="137209"/>
    <x v="6"/>
    <n v="398887"/>
    <n v="415156"/>
    <n v="319443"/>
    <n v="329072"/>
    <n v="0"/>
    <n v="0"/>
    <n v="74132"/>
    <n v="0"/>
    <n v="5312"/>
    <n v="81623"/>
    <n v="0"/>
    <n v="4461"/>
    <n v="0"/>
    <n v="0"/>
    <n v="0"/>
    <n v="0"/>
    <m/>
    <m/>
    <m/>
    <m/>
    <m/>
    <m/>
    <m/>
    <m/>
    <m/>
    <m/>
    <m/>
    <m/>
  </r>
  <r>
    <x v="3"/>
    <s v="State College of Florida, Manatee-Sarasota"/>
    <s v="Met the criteria for Two-Year with Bachelor's in 2011-12."/>
    <n v="135391"/>
    <x v="6"/>
    <n v="276380"/>
    <n v="258433"/>
    <n v="223582"/>
    <n v="193907"/>
    <n v="9372"/>
    <n v="9332"/>
    <n v="30775"/>
    <n v="1569"/>
    <n v="11082"/>
    <n v="38391"/>
    <n v="1416"/>
    <n v="15387"/>
    <n v="0"/>
    <n v="0"/>
    <n v="0"/>
    <n v="0"/>
    <m/>
    <m/>
    <m/>
    <m/>
    <m/>
    <m/>
    <m/>
    <m/>
    <m/>
    <m/>
    <m/>
    <m/>
  </r>
  <r>
    <x v="3"/>
    <s v="Tallahassee Community College "/>
    <m/>
    <n v="137759"/>
    <x v="6"/>
    <n v="342820"/>
    <n v="352517"/>
    <n v="165250"/>
    <n v="34131"/>
    <n v="3054"/>
    <n v="1753"/>
    <n v="18829"/>
    <n v="0"/>
    <n v="155687"/>
    <n v="32092"/>
    <n v="0"/>
    <n v="284541"/>
    <n v="0"/>
    <n v="0"/>
    <n v="0"/>
    <n v="0"/>
    <m/>
    <m/>
    <m/>
    <m/>
    <m/>
    <m/>
    <m/>
    <m/>
    <m/>
    <m/>
    <m/>
    <m/>
  </r>
  <r>
    <x v="3"/>
    <s v="Valencia Community College "/>
    <m/>
    <n v="138187"/>
    <x v="6"/>
    <n v="915042"/>
    <n v="943242"/>
    <n v="715709"/>
    <n v="711310"/>
    <n v="0"/>
    <n v="0"/>
    <n v="161499"/>
    <n v="0"/>
    <n v="37834"/>
    <n v="176569"/>
    <n v="0"/>
    <n v="55363"/>
    <n v="0"/>
    <n v="0"/>
    <n v="0"/>
    <n v="0"/>
    <m/>
    <m/>
    <m/>
    <m/>
    <m/>
    <m/>
    <m/>
    <m/>
    <m/>
    <m/>
    <m/>
    <m/>
  </r>
  <r>
    <x v="3"/>
    <s v="Gulf Coast Community College "/>
    <m/>
    <n v="134343"/>
    <x v="7"/>
    <n v="138911"/>
    <n v="138301"/>
    <n v="92440"/>
    <n v="90065"/>
    <n v="13282"/>
    <n v="12541"/>
    <n v="29336"/>
    <n v="2299"/>
    <n v="1554"/>
    <n v="31695"/>
    <n v="2224"/>
    <n v="1776"/>
    <n v="0"/>
    <n v="0"/>
    <n v="0"/>
    <n v="0"/>
    <m/>
    <m/>
    <m/>
    <m/>
    <m/>
    <m/>
    <m/>
    <m/>
    <m/>
    <m/>
    <m/>
    <m/>
  </r>
  <r>
    <x v="3"/>
    <s v="Lake City Community College "/>
    <m/>
    <n v="135160"/>
    <x v="7"/>
    <n v="58982"/>
    <n v="59830"/>
    <n v="32078"/>
    <n v="30588"/>
    <n v="1563"/>
    <n v="2137"/>
    <n v="22508"/>
    <n v="1313"/>
    <n v="1520"/>
    <n v="23566"/>
    <n v="1662"/>
    <n v="1877"/>
    <n v="0"/>
    <n v="0"/>
    <n v="0"/>
    <n v="0"/>
    <m/>
    <m/>
    <m/>
    <m/>
    <m/>
    <m/>
    <m/>
    <m/>
    <m/>
    <m/>
    <m/>
    <m/>
  </r>
  <r>
    <x v="3"/>
    <s v="Lake-Sumter Community College "/>
    <m/>
    <n v="135188"/>
    <x v="7"/>
    <n v="97432"/>
    <n v="97223"/>
    <n v="77814"/>
    <n v="78086"/>
    <n v="0"/>
    <n v="0"/>
    <n v="5680"/>
    <n v="0"/>
    <n v="13938"/>
    <n v="6341"/>
    <n v="0"/>
    <n v="12796"/>
    <n v="0"/>
    <n v="0"/>
    <n v="0"/>
    <n v="0"/>
    <m/>
    <m/>
    <m/>
    <m/>
    <m/>
    <m/>
    <m/>
    <m/>
    <m/>
    <m/>
    <m/>
    <m/>
  </r>
  <r>
    <x v="3"/>
    <s v="South Florida Community College "/>
    <m/>
    <n v="137315"/>
    <x v="7"/>
    <n v="49486"/>
    <n v="47356"/>
    <n v="15775"/>
    <n v="4870"/>
    <n v="7763"/>
    <n v="2284"/>
    <n v="6436"/>
    <n v="1248"/>
    <n v="17691"/>
    <n v="5590"/>
    <n v="1251"/>
    <n v="27204"/>
    <n v="573"/>
    <n v="6157"/>
    <n v="0"/>
    <n v="0"/>
    <m/>
    <m/>
    <m/>
    <m/>
    <m/>
    <m/>
    <m/>
    <m/>
    <m/>
    <m/>
    <m/>
    <m/>
  </r>
  <r>
    <x v="3"/>
    <s v="St. Johns River Community College "/>
    <s v="Met the criteria for Two-Year with Bachelor's in 2011-12."/>
    <n v="137281"/>
    <x v="7"/>
    <n v="139519"/>
    <n v="143030"/>
    <n v="98958"/>
    <n v="96680"/>
    <n v="7702"/>
    <n v="9314"/>
    <n v="30261"/>
    <n v="0"/>
    <n v="2598"/>
    <n v="31509"/>
    <n v="0"/>
    <n v="5527"/>
    <n v="0"/>
    <n v="0"/>
    <n v="0"/>
    <n v="0"/>
    <m/>
    <m/>
    <m/>
    <m/>
    <m/>
    <m/>
    <m/>
    <m/>
    <m/>
    <m/>
    <m/>
    <m/>
  </r>
  <r>
    <x v="3"/>
    <s v="Florida Keys Community College "/>
    <m/>
    <n v="133960"/>
    <x v="8"/>
    <n v="29899"/>
    <n v="27535"/>
    <n v="24788"/>
    <n v="20266"/>
    <n v="1298"/>
    <n v="1058"/>
    <n v="3191"/>
    <n v="110"/>
    <n v="512"/>
    <n v="3723"/>
    <n v="0"/>
    <n v="2488"/>
    <n v="0"/>
    <n v="0"/>
    <n v="0"/>
    <n v="0"/>
    <m/>
    <m/>
    <m/>
    <m/>
    <m/>
    <m/>
    <m/>
    <m/>
    <m/>
    <m/>
    <m/>
    <m/>
  </r>
  <r>
    <x v="3"/>
    <s v="North Florida Community College "/>
    <m/>
    <n v="136145"/>
    <x v="8"/>
    <n v="25936"/>
    <n v="26319"/>
    <n v="12168"/>
    <n v="1165"/>
    <n v="1755"/>
    <n v="358"/>
    <n v="4919"/>
    <n v="0"/>
    <n v="7094"/>
    <n v="5494"/>
    <n v="0"/>
    <n v="19302"/>
    <n v="0"/>
    <n v="0"/>
    <n v="0"/>
    <n v="0"/>
    <m/>
    <m/>
    <m/>
    <m/>
    <m/>
    <m/>
    <m/>
    <m/>
    <m/>
    <m/>
    <m/>
    <m/>
  </r>
  <r>
    <x v="4"/>
    <s v="Albany Technical College"/>
    <m/>
    <n v="138682"/>
    <x v="9"/>
    <n v="136345.48359999998"/>
    <n v="157927.70000000001"/>
    <n v="91883.927299999996"/>
    <n v="97891"/>
    <m/>
    <m/>
    <n v="44461.556299999997"/>
    <n v="0"/>
    <m/>
    <n v="60036.7"/>
    <n v="0"/>
    <m/>
    <m/>
    <m/>
    <n v="0"/>
    <n v="0"/>
    <m/>
    <m/>
    <m/>
    <m/>
    <m/>
    <m/>
    <m/>
    <m/>
    <m/>
    <m/>
    <m/>
    <m/>
  </r>
  <r>
    <x v="4"/>
    <s v="Altamaha Technical College"/>
    <m/>
    <n v="366447"/>
    <x v="9"/>
    <n v="42471.4568"/>
    <n v="37106.6"/>
    <n v="36934.513299999999"/>
    <n v="31070"/>
    <m/>
    <m/>
    <n v="5536.9434999999994"/>
    <n v="0"/>
    <m/>
    <n v="6036.6"/>
    <n v="0"/>
    <m/>
    <m/>
    <m/>
    <n v="0"/>
    <n v="0"/>
    <m/>
    <m/>
    <m/>
    <m/>
    <m/>
    <m/>
    <m/>
    <m/>
    <m/>
    <m/>
    <m/>
    <m/>
  </r>
  <r>
    <x v="4"/>
    <s v="Athens Technical College"/>
    <m/>
    <n v="246813"/>
    <x v="9"/>
    <n v="127314.36539999998"/>
    <n v="125489.7"/>
    <n v="113995.03279999999"/>
    <n v="110302.5"/>
    <m/>
    <m/>
    <n v="11915.929099999999"/>
    <n v="1403.4034999999999"/>
    <m/>
    <n v="14240.8"/>
    <n v="946.4"/>
    <m/>
    <m/>
    <m/>
    <n v="0"/>
    <n v="0"/>
    <m/>
    <m/>
    <m/>
    <m/>
    <m/>
    <m/>
    <m/>
    <m/>
    <m/>
    <m/>
    <m/>
    <m/>
  </r>
  <r>
    <x v="4"/>
    <s v="Atlanta Technical College"/>
    <m/>
    <n v="138840"/>
    <x v="9"/>
    <n v="146154.64069999999"/>
    <n v="139261.6"/>
    <n v="128519.75899999999"/>
    <n v="118905.2"/>
    <m/>
    <m/>
    <n v="17634.881699999998"/>
    <n v="0"/>
    <m/>
    <n v="20356.400000000001"/>
    <n v="0"/>
    <m/>
    <m/>
    <m/>
    <n v="0"/>
    <n v="0"/>
    <m/>
    <m/>
    <m/>
    <m/>
    <m/>
    <m/>
    <m/>
    <m/>
    <m/>
    <m/>
    <m/>
    <m/>
  </r>
  <r>
    <x v="4"/>
    <s v="Augusta Technical College"/>
    <m/>
    <n v="138956"/>
    <x v="9"/>
    <n v="129363.1345"/>
    <n v="119168.20000000001"/>
    <n v="112413.6204"/>
    <n v="103669.6"/>
    <m/>
    <m/>
    <n v="16949.5141"/>
    <n v="0"/>
    <m/>
    <n v="15498.6"/>
    <n v="0"/>
    <m/>
    <m/>
    <m/>
    <n v="0"/>
    <n v="0"/>
    <m/>
    <m/>
    <m/>
    <m/>
    <m/>
    <m/>
    <m/>
    <m/>
    <m/>
    <m/>
    <m/>
    <m/>
  </r>
  <r>
    <x v="4"/>
    <s v="Central Georgia Technical College"/>
    <m/>
    <n v="140304"/>
    <x v="9"/>
    <n v="205400.26949999999"/>
    <n v="185092.40000000002"/>
    <n v="149695.48439999999"/>
    <n v="129573.4"/>
    <m/>
    <m/>
    <n v="55090.754399999998"/>
    <n v="614.03069999999991"/>
    <m/>
    <n v="54868.3"/>
    <n v="650.70000000000005"/>
    <m/>
    <m/>
    <m/>
    <n v="0"/>
    <n v="0"/>
    <m/>
    <m/>
    <m/>
    <m/>
    <m/>
    <m/>
    <m/>
    <m/>
    <m/>
    <m/>
    <m/>
    <m/>
  </r>
  <r>
    <x v="4"/>
    <s v="Chattahoochee Technical College"/>
    <m/>
    <n v="140331"/>
    <x v="9"/>
    <n v="319217.96009999997"/>
    <n v="308698.5"/>
    <n v="263362.50079999998"/>
    <n v="244988.5"/>
    <m/>
    <m/>
    <n v="55855.459299999995"/>
    <n v="0"/>
    <m/>
    <n v="63710"/>
    <n v="0"/>
    <m/>
    <m/>
    <m/>
    <n v="0"/>
    <n v="0"/>
    <m/>
    <m/>
    <m/>
    <m/>
    <m/>
    <m/>
    <m/>
    <m/>
    <m/>
    <m/>
    <m/>
    <m/>
  </r>
  <r>
    <x v="4"/>
    <s v="Columbus Technical College"/>
    <m/>
    <n v="139357"/>
    <x v="9"/>
    <n v="102573.1284"/>
    <n v="95272.099999999991"/>
    <n v="87909.061900000001"/>
    <n v="79356.2"/>
    <m/>
    <m/>
    <n v="14664.066499999999"/>
    <n v="0"/>
    <m/>
    <n v="15915.9"/>
    <n v="0"/>
    <m/>
    <m/>
    <m/>
    <n v="0"/>
    <n v="0"/>
    <m/>
    <m/>
    <m/>
    <m/>
    <m/>
    <m/>
    <m/>
    <m/>
    <m/>
    <m/>
    <m/>
    <m/>
  </r>
  <r>
    <x v="4"/>
    <s v="Georgia Northwestern Technical College"/>
    <m/>
    <n v="139384"/>
    <x v="9"/>
    <n v="175068.75299999997"/>
    <n v="174431.8"/>
    <n v="130023.1675"/>
    <n v="128342.2"/>
    <m/>
    <m/>
    <n v="44584.895799999998"/>
    <n v="460.68969999999996"/>
    <m/>
    <n v="46089.599999999999"/>
    <n v="0"/>
    <m/>
    <m/>
    <m/>
    <n v="0"/>
    <n v="0"/>
    <m/>
    <m/>
    <m/>
    <m/>
    <m/>
    <m/>
    <m/>
    <m/>
    <m/>
    <m/>
    <m/>
    <m/>
  </r>
  <r>
    <x v="4"/>
    <s v="Georgia Piedmont Technical College"/>
    <s v="Formerly DeKalb Technical College."/>
    <n v="244446"/>
    <x v="9"/>
    <n v="133425.3376"/>
    <n v="119339.8"/>
    <n v="97686.217399999994"/>
    <n v="83241.5"/>
    <m/>
    <m/>
    <n v="35739.120199999998"/>
    <n v="0"/>
    <m/>
    <n v="36098.300000000003"/>
    <n v="0"/>
    <m/>
    <m/>
    <m/>
    <n v="0"/>
    <n v="0"/>
    <m/>
    <m/>
    <m/>
    <m/>
    <m/>
    <m/>
    <m/>
    <m/>
    <m/>
    <m/>
    <m/>
    <m/>
  </r>
  <r>
    <x v="4"/>
    <s v="Gwinnett Technical College"/>
    <m/>
    <n v="140012"/>
    <x v="9"/>
    <n v="178875.61"/>
    <n v="173572.7"/>
    <n v="136053.46899999998"/>
    <n v="130399.6"/>
    <m/>
    <m/>
    <n v="42822.140999999996"/>
    <n v="0"/>
    <m/>
    <n v="43173.1"/>
    <n v="0"/>
    <m/>
    <m/>
    <m/>
    <n v="0"/>
    <n v="0"/>
    <m/>
    <m/>
    <m/>
    <m/>
    <m/>
    <m/>
    <m/>
    <m/>
    <m/>
    <m/>
    <m/>
    <m/>
  </r>
  <r>
    <x v="4"/>
    <s v="Lanier Technical College"/>
    <m/>
    <n v="140243"/>
    <x v="9"/>
    <n v="109650.8156"/>
    <n v="92952.5"/>
    <n v="74143.706999999995"/>
    <n v="61222"/>
    <m/>
    <m/>
    <n v="35507.1086"/>
    <n v="0"/>
    <m/>
    <n v="31730.5"/>
    <n v="0"/>
    <m/>
    <m/>
    <m/>
    <n v="0"/>
    <n v="0"/>
    <m/>
    <m/>
    <m/>
    <m/>
    <m/>
    <m/>
    <m/>
    <m/>
    <m/>
    <m/>
    <m/>
    <m/>
  </r>
  <r>
    <x v="4"/>
    <s v="Middle Georgia Technical College"/>
    <m/>
    <n v="140085"/>
    <x v="9"/>
    <n v="117809.22349999999"/>
    <n v="110618"/>
    <n v="93651.348999999987"/>
    <n v="85972.5"/>
    <m/>
    <m/>
    <n v="24157.874499999998"/>
    <n v="0"/>
    <m/>
    <n v="24645.5"/>
    <n v="0"/>
    <m/>
    <m/>
    <m/>
    <n v="0"/>
    <n v="0"/>
    <m/>
    <m/>
    <m/>
    <m/>
    <m/>
    <m/>
    <m/>
    <m/>
    <m/>
    <m/>
    <m/>
    <m/>
  </r>
  <r>
    <x v="4"/>
    <s v="Moultrie Technical College"/>
    <m/>
    <n v="140599"/>
    <x v="9"/>
    <n v="70692.867799999993"/>
    <n v="64625.799999999996"/>
    <n v="59099.621499999994"/>
    <n v="51189.7"/>
    <m/>
    <m/>
    <n v="11593.246299999999"/>
    <n v="0"/>
    <m/>
    <n v="13436.1"/>
    <n v="0"/>
    <m/>
    <m/>
    <m/>
    <n v="0"/>
    <n v="0"/>
    <m/>
    <m/>
    <m/>
    <m/>
    <m/>
    <m/>
    <m/>
    <m/>
    <m/>
    <m/>
    <m/>
    <m/>
  </r>
  <r>
    <x v="4"/>
    <s v="North Georgia Technical College"/>
    <m/>
    <n v="140678"/>
    <x v="9"/>
    <n v="84423.554300000003"/>
    <n v="72260.299999999988"/>
    <n v="67452.705799999996"/>
    <n v="55573.4"/>
    <m/>
    <m/>
    <n v="14180.708999999999"/>
    <n v="2790.1394999999998"/>
    <m/>
    <n v="13700.5"/>
    <n v="2986.4"/>
    <m/>
    <m/>
    <m/>
    <n v="0"/>
    <n v="0"/>
    <m/>
    <m/>
    <m/>
    <m/>
    <m/>
    <m/>
    <m/>
    <m/>
    <m/>
    <m/>
    <m/>
    <m/>
  </r>
  <r>
    <x v="4"/>
    <s v="Ogeechee Technical College"/>
    <m/>
    <n v="366465"/>
    <x v="9"/>
    <n v="73528.342899999989"/>
    <n v="71441.200000000012"/>
    <n v="54188.042599999993"/>
    <n v="52442.8"/>
    <m/>
    <m/>
    <n v="19340.300299999999"/>
    <n v="0"/>
    <m/>
    <n v="18998.400000000001"/>
    <n v="0"/>
    <m/>
    <m/>
    <m/>
    <n v="0"/>
    <n v="0"/>
    <m/>
    <m/>
    <m/>
    <m/>
    <m/>
    <m/>
    <m/>
    <m/>
    <m/>
    <m/>
    <m/>
    <m/>
  </r>
  <r>
    <x v="4"/>
    <s v="Okefenokee Technical College"/>
    <m/>
    <n v="248776"/>
    <x v="9"/>
    <n v="42325.782849999996"/>
    <n v="35327.800000000003"/>
    <n v="38127.572949999994"/>
    <n v="31224.3"/>
    <m/>
    <m/>
    <n v="4198.2098999999998"/>
    <n v="0"/>
    <m/>
    <n v="4103.5"/>
    <n v="0"/>
    <m/>
    <m/>
    <m/>
    <n v="0"/>
    <n v="0"/>
    <m/>
    <m/>
    <m/>
    <m/>
    <m/>
    <m/>
    <m/>
    <m/>
    <m/>
    <m/>
    <m/>
    <m/>
  </r>
  <r>
    <x v="4"/>
    <s v="Savannah Technical College"/>
    <m/>
    <n v="140942"/>
    <x v="9"/>
    <n v="146168.64139999999"/>
    <n v="135656.69999999998"/>
    <n v="116991.1826"/>
    <n v="104294.9"/>
    <m/>
    <m/>
    <n v="29177.458799999997"/>
    <n v="0"/>
    <m/>
    <n v="31361.8"/>
    <n v="0"/>
    <m/>
    <m/>
    <m/>
    <n v="0"/>
    <n v="0"/>
    <m/>
    <m/>
    <m/>
    <m/>
    <m/>
    <m/>
    <m/>
    <m/>
    <m/>
    <m/>
    <m/>
    <m/>
  </r>
  <r>
    <x v="4"/>
    <s v="South Georgia Technical College"/>
    <m/>
    <n v="141006"/>
    <x v="9"/>
    <n v="81004.049999999988"/>
    <n v="73009.099999999991"/>
    <n v="69031.451399999991"/>
    <n v="60842.7"/>
    <m/>
    <m/>
    <n v="11972.598599999999"/>
    <n v="0"/>
    <m/>
    <n v="12166.4"/>
    <n v="0"/>
    <m/>
    <m/>
    <m/>
    <n v="0"/>
    <n v="0"/>
    <m/>
    <m/>
    <m/>
    <m/>
    <m/>
    <m/>
    <m/>
    <m/>
    <m/>
    <m/>
    <m/>
    <m/>
  </r>
  <r>
    <x v="4"/>
    <s v="Southeastern Technical College"/>
    <m/>
    <n v="368911"/>
    <x v="9"/>
    <n v="51828.5913"/>
    <n v="45997.2"/>
    <n v="41946.763899999998"/>
    <n v="36896.199999999997"/>
    <m/>
    <m/>
    <n v="9881.8274000000001"/>
    <n v="0"/>
    <m/>
    <n v="9101"/>
    <n v="0"/>
    <m/>
    <m/>
    <m/>
    <n v="0"/>
    <n v="0"/>
    <m/>
    <m/>
    <m/>
    <m/>
    <m/>
    <m/>
    <m/>
    <m/>
    <m/>
    <m/>
    <m/>
    <m/>
  </r>
  <r>
    <x v="4"/>
    <s v="Southern Crescent Technical College"/>
    <m/>
    <n v="139986"/>
    <x v="9"/>
    <n v="170829.67439"/>
    <n v="144060.79999999999"/>
    <n v="134654.53239000001"/>
    <n v="111574"/>
    <m/>
    <m/>
    <n v="36175.142"/>
    <n v="0"/>
    <m/>
    <n v="32486.799999999999"/>
    <n v="0"/>
    <m/>
    <m/>
    <m/>
    <n v="0"/>
    <n v="0"/>
    <m/>
    <m/>
    <m/>
    <m/>
    <m/>
    <m/>
    <m/>
    <m/>
    <m/>
    <m/>
    <m/>
    <m/>
  </r>
  <r>
    <x v="4"/>
    <s v="Southwest Georgia Technical College"/>
    <m/>
    <n v="141158"/>
    <x v="9"/>
    <n v="42051.102449999991"/>
    <n v="39895.300000000003"/>
    <n v="34411.387149999995"/>
    <n v="31703.7"/>
    <m/>
    <m/>
    <n v="7639.7152999999998"/>
    <n v="0"/>
    <m/>
    <n v="8191.6"/>
    <n v="0"/>
    <m/>
    <m/>
    <m/>
    <n v="0"/>
    <n v="0"/>
    <m/>
    <m/>
    <m/>
    <m/>
    <m/>
    <m/>
    <m/>
    <m/>
    <m/>
    <m/>
    <m/>
    <m/>
  </r>
  <r>
    <x v="4"/>
    <s v="West Georgia Technical College"/>
    <m/>
    <n v="139278"/>
    <x v="9"/>
    <n v="184845.24179999999"/>
    <n v="181609.9"/>
    <n v="153893.0276"/>
    <n v="149538.5"/>
    <m/>
    <m/>
    <n v="30952.214199999999"/>
    <n v="0"/>
    <m/>
    <n v="32071.4"/>
    <n v="0"/>
    <m/>
    <m/>
    <m/>
    <n v="0"/>
    <n v="0"/>
    <m/>
    <m/>
    <m/>
    <m/>
    <m/>
    <m/>
    <m/>
    <m/>
    <m/>
    <m/>
    <m/>
    <m/>
  </r>
  <r>
    <x v="4"/>
    <s v="Wiregrass Georgia Technical College"/>
    <m/>
    <n v="141255"/>
    <x v="9"/>
    <n v="149922.82909999997"/>
    <n v="137751.6"/>
    <n v="126133.63969999999"/>
    <n v="108685.3"/>
    <m/>
    <m/>
    <n v="23789.189399999999"/>
    <n v="0"/>
    <m/>
    <n v="29066.3"/>
    <n v="0"/>
    <m/>
    <m/>
    <m/>
    <n v="0"/>
    <n v="0"/>
    <m/>
    <m/>
    <m/>
    <m/>
    <m/>
    <m/>
    <m/>
    <m/>
    <m/>
    <m/>
    <m/>
    <m/>
  </r>
  <r>
    <x v="4"/>
    <s v="Oconee Fall Line Technical College"/>
    <s v="Is the merger of Heart of Georgia Tech and Sandersville Tech"/>
    <n v="420431"/>
    <x v="9"/>
    <n v="70259.512799999997"/>
    <n v="59677.2"/>
    <n v="61782.422299999998"/>
    <n v="50085.2"/>
    <m/>
    <m/>
    <n v="7553.7109999999993"/>
    <n v="923.37949999999989"/>
    <n v="0"/>
    <n v="9147.2999999999993"/>
    <n v="444.7"/>
    <n v="0"/>
    <n v="0"/>
    <n v="0"/>
    <n v="0"/>
    <n v="0"/>
    <n v="0"/>
    <n v="0"/>
    <n v="0"/>
    <n v="0"/>
    <n v="0"/>
    <n v="0"/>
    <n v="0"/>
    <n v="0"/>
    <n v="0"/>
    <n v="0"/>
    <n v="0"/>
    <n v="0"/>
  </r>
  <r>
    <x v="5"/>
    <s v="University of Kentucky"/>
    <m/>
    <n v="157085"/>
    <x v="0"/>
    <n v="539913"/>
    <n v="555786"/>
    <n v="521382"/>
    <n v="530749"/>
    <n v="2828"/>
    <n v="2209"/>
    <n v="13218"/>
    <n v="1309"/>
    <n v="1176"/>
    <n v="20681"/>
    <n v="2144"/>
    <n v="3"/>
    <m/>
    <m/>
    <n v="80488"/>
    <n v="84631"/>
    <n v="69004"/>
    <n v="71470"/>
    <n v="2949"/>
    <n v="1628"/>
    <n v="7841"/>
    <n v="340"/>
    <n v="354"/>
    <n v="10068"/>
    <n v="1459"/>
    <n v="6"/>
    <m/>
    <m/>
  </r>
  <r>
    <x v="5"/>
    <s v="University of Louisville"/>
    <m/>
    <n v="157289"/>
    <x v="0"/>
    <n v="393895"/>
    <n v="397187.5"/>
    <n v="360400"/>
    <n v="360351"/>
    <n v="9053"/>
    <n v="10081.5"/>
    <n v="24442"/>
    <m/>
    <m/>
    <n v="26755"/>
    <m/>
    <m/>
    <m/>
    <m/>
    <n v="78088"/>
    <n v="79200"/>
    <n v="69917"/>
    <n v="70359.5"/>
    <n v="4189"/>
    <n v="4384.5"/>
    <n v="3982"/>
    <m/>
    <m/>
    <n v="4456"/>
    <m/>
    <m/>
    <m/>
    <m/>
  </r>
  <r>
    <x v="5"/>
    <s v="Eastern Kentucky University "/>
    <m/>
    <n v="156620"/>
    <x v="2"/>
    <n v="381237"/>
    <n v="366498"/>
    <n v="300117"/>
    <n v="291063"/>
    <n v="28339"/>
    <n v="24080"/>
    <n v="44099"/>
    <n v="8682"/>
    <m/>
    <n v="42081"/>
    <n v="9274"/>
    <m/>
    <m/>
    <m/>
    <n v="33745"/>
    <n v="37637"/>
    <n v="18517"/>
    <n v="21407"/>
    <n v="1363"/>
    <n v="1157"/>
    <n v="12521"/>
    <n v="1344"/>
    <m/>
    <n v="14044"/>
    <n v="1029"/>
    <m/>
    <m/>
    <m/>
  </r>
  <r>
    <x v="5"/>
    <s v="Morehead State University "/>
    <m/>
    <n v="157386"/>
    <x v="2"/>
    <n v="182291"/>
    <n v="188450"/>
    <n v="129758"/>
    <n v="127125"/>
    <n v="13378"/>
    <n v="18007"/>
    <n v="30372"/>
    <n v="8783"/>
    <m/>
    <n v="33647"/>
    <n v="9671"/>
    <m/>
    <m/>
    <m/>
    <n v="19998"/>
    <n v="22629"/>
    <n v="5255"/>
    <n v="5429"/>
    <n v="378"/>
    <n v="354"/>
    <n v="13378"/>
    <n v="987"/>
    <m/>
    <n v="15850"/>
    <n v="996"/>
    <m/>
    <m/>
    <m/>
  </r>
  <r>
    <x v="5"/>
    <s v="Murray State University "/>
    <m/>
    <n v="157401"/>
    <x v="2"/>
    <n v="220191"/>
    <n v="222642"/>
    <n v="193285"/>
    <n v="193484"/>
    <n v="8199"/>
    <n v="8053"/>
    <n v="12583"/>
    <n v="6124"/>
    <m/>
    <n v="14749"/>
    <n v="6356"/>
    <m/>
    <m/>
    <m/>
    <n v="29144"/>
    <n v="31159"/>
    <n v="16036"/>
    <n v="16352"/>
    <n v="3778"/>
    <n v="3231"/>
    <n v="7401"/>
    <n v="1929"/>
    <m/>
    <n v="9433"/>
    <n v="2143"/>
    <m/>
    <m/>
    <m/>
  </r>
  <r>
    <x v="5"/>
    <s v="Western Kentucky University "/>
    <m/>
    <n v="157951"/>
    <x v="2"/>
    <n v="464035"/>
    <n v="459602"/>
    <n v="351307"/>
    <n v="344823.5"/>
    <n v="43182"/>
    <n v="44604"/>
    <n v="58991"/>
    <n v="9208"/>
    <n v="1347"/>
    <n v="59447"/>
    <n v="8812.5"/>
    <n v="1915"/>
    <m/>
    <m/>
    <n v="44392"/>
    <n v="50140.5"/>
    <n v="20075"/>
    <n v="21614"/>
    <n v="2496"/>
    <n v="2352"/>
    <n v="21169"/>
    <n v="636"/>
    <n v="16"/>
    <n v="25442.5"/>
    <n v="693"/>
    <n v="39"/>
    <m/>
    <m/>
  </r>
  <r>
    <x v="5"/>
    <s v="Kentucky State University "/>
    <m/>
    <n v="157058"/>
    <x v="3"/>
    <n v="66536"/>
    <n v="63778"/>
    <n v="57442"/>
    <n v="53254"/>
    <m/>
    <n v="98"/>
    <n v="9085"/>
    <m/>
    <n v="9"/>
    <n v="10417"/>
    <m/>
    <n v="9"/>
    <m/>
    <m/>
    <n v="3518"/>
    <n v="3997"/>
    <n v="1808"/>
    <n v="2101"/>
    <m/>
    <m/>
    <n v="1710"/>
    <m/>
    <m/>
    <n v="1896"/>
    <m/>
    <m/>
    <m/>
    <m/>
  </r>
  <r>
    <x v="5"/>
    <s v="Northern Kentucky University "/>
    <m/>
    <n v="157447"/>
    <x v="3"/>
    <n v="331893"/>
    <n v="334722"/>
    <n v="286917"/>
    <n v="281387"/>
    <n v="13733"/>
    <n v="12633"/>
    <n v="31243"/>
    <m/>
    <m/>
    <n v="40702"/>
    <m/>
    <m/>
    <m/>
    <m/>
    <n v="37581"/>
    <n v="41331"/>
    <n v="29269"/>
    <n v="30967"/>
    <n v="1026"/>
    <n v="1184"/>
    <n v="7286"/>
    <m/>
    <m/>
    <n v="9180"/>
    <m/>
    <m/>
    <m/>
    <m/>
  </r>
  <r>
    <x v="5"/>
    <s v="Bluegrass Community and Technical College"/>
    <m/>
    <n v="157173"/>
    <x v="6"/>
    <n v="279169"/>
    <n v="286292"/>
    <n v="179183"/>
    <n v="175488"/>
    <n v="28605"/>
    <n v="28505"/>
    <n v="70516"/>
    <n v="865"/>
    <m/>
    <n v="82251"/>
    <n v="48"/>
    <m/>
    <m/>
    <m/>
    <n v="0"/>
    <n v="0"/>
    <m/>
    <m/>
    <m/>
    <m/>
    <m/>
    <m/>
    <m/>
    <m/>
    <m/>
    <m/>
    <m/>
    <m/>
  </r>
  <r>
    <x v="5"/>
    <s v="Jefferson Community and Technical College "/>
    <m/>
    <n v="156921"/>
    <x v="6"/>
    <n v="274026"/>
    <n v="266410"/>
    <n v="212295"/>
    <n v="201553"/>
    <n v="14192"/>
    <n v="14359"/>
    <n v="46980"/>
    <n v="559"/>
    <m/>
    <n v="49659"/>
    <n v="839"/>
    <m/>
    <m/>
    <m/>
    <n v="0"/>
    <n v="0"/>
    <m/>
    <m/>
    <m/>
    <m/>
    <m/>
    <m/>
    <m/>
    <m/>
    <m/>
    <m/>
    <m/>
    <m/>
  </r>
  <r>
    <x v="5"/>
    <s v="Ashland Community and Technical College"/>
    <m/>
    <n v="156231"/>
    <x v="7"/>
    <n v="86918"/>
    <n v="86732"/>
    <n v="59880"/>
    <n v="57455"/>
    <n v="9337"/>
    <n v="9567"/>
    <n v="17701"/>
    <m/>
    <m/>
    <n v="19710"/>
    <m/>
    <m/>
    <m/>
    <m/>
    <n v="0"/>
    <n v="0"/>
    <m/>
    <m/>
    <m/>
    <m/>
    <m/>
    <m/>
    <m/>
    <m/>
    <m/>
    <m/>
    <m/>
    <m/>
  </r>
  <r>
    <x v="5"/>
    <s v="Big Sandy Community and Technical College "/>
    <m/>
    <n v="157553"/>
    <x v="7"/>
    <n v="93039"/>
    <n v="87803"/>
    <n v="41460"/>
    <n v="40278"/>
    <n v="11014"/>
    <n v="10727"/>
    <n v="40023"/>
    <n v="542"/>
    <m/>
    <n v="36272"/>
    <n v="526"/>
    <m/>
    <m/>
    <m/>
    <n v="0"/>
    <n v="0"/>
    <m/>
    <m/>
    <m/>
    <m/>
    <m/>
    <m/>
    <m/>
    <m/>
    <m/>
    <m/>
    <m/>
    <m/>
  </r>
  <r>
    <x v="5"/>
    <s v="Elizabethtown Community and Technical College "/>
    <m/>
    <n v="156648"/>
    <x v="7"/>
    <n v="129073"/>
    <n v="127667"/>
    <n v="98838"/>
    <n v="92546"/>
    <n v="2322"/>
    <n v="2157"/>
    <n v="27913"/>
    <m/>
    <m/>
    <n v="32848"/>
    <n v="116"/>
    <m/>
    <m/>
    <m/>
    <n v="0"/>
    <n v="0"/>
    <m/>
    <m/>
    <m/>
    <m/>
    <m/>
    <m/>
    <m/>
    <m/>
    <m/>
    <m/>
    <m/>
    <m/>
  </r>
  <r>
    <x v="5"/>
    <s v="Hopkinsville Community College "/>
    <s v="Reclassified: Met the criteria for Two-Year 2 in 2009-10, 2010-11 and 2011-12."/>
    <n v="156860"/>
    <x v="7"/>
    <n v="75637"/>
    <n v="78930"/>
    <n v="55330"/>
    <n v="56762"/>
    <n v="2945"/>
    <n v="2034"/>
    <n v="17362"/>
    <m/>
    <m/>
    <n v="20134"/>
    <m/>
    <m/>
    <m/>
    <m/>
    <n v="0"/>
    <n v="0"/>
    <m/>
    <m/>
    <m/>
    <m/>
    <m/>
    <m/>
    <m/>
    <m/>
    <m/>
    <m/>
    <m/>
    <m/>
  </r>
  <r>
    <x v="5"/>
    <s v="Madisonville Community College"/>
    <m/>
    <n v="157304"/>
    <x v="7"/>
    <n v="64799"/>
    <n v="62671"/>
    <n v="53693"/>
    <n v="49346"/>
    <n v="483"/>
    <n v="157"/>
    <n v="10623"/>
    <m/>
    <m/>
    <n v="13168"/>
    <m/>
    <m/>
    <m/>
    <m/>
    <n v="0"/>
    <n v="0"/>
    <m/>
    <m/>
    <m/>
    <m/>
    <m/>
    <m/>
    <m/>
    <m/>
    <m/>
    <m/>
    <m/>
    <m/>
  </r>
  <r>
    <x v="5"/>
    <s v="Maysville Community and Technical College "/>
    <m/>
    <n v="157331"/>
    <x v="7"/>
    <n v="101898"/>
    <n v="103971"/>
    <n v="35727"/>
    <n v="32774"/>
    <n v="15957"/>
    <n v="15945"/>
    <n v="47911"/>
    <n v="2303"/>
    <m/>
    <n v="52856"/>
    <n v="2396"/>
    <m/>
    <m/>
    <m/>
    <n v="0"/>
    <n v="0"/>
    <m/>
    <m/>
    <m/>
    <m/>
    <m/>
    <m/>
    <m/>
    <m/>
    <m/>
    <m/>
    <m/>
    <m/>
  </r>
  <r>
    <x v="5"/>
    <s v="Owensboro Community and Technical College "/>
    <m/>
    <n v="247940"/>
    <x v="7"/>
    <n v="98974"/>
    <n v="96873"/>
    <n v="88307"/>
    <n v="84098"/>
    <n v="820"/>
    <n v="534"/>
    <n v="9847"/>
    <m/>
    <m/>
    <n v="12241"/>
    <m/>
    <m/>
    <m/>
    <m/>
    <n v="0"/>
    <n v="0"/>
    <m/>
    <m/>
    <m/>
    <m/>
    <m/>
    <m/>
    <m/>
    <m/>
    <m/>
    <m/>
    <m/>
    <m/>
  </r>
  <r>
    <x v="5"/>
    <s v="Somerset Community and Technical College "/>
    <s v="Met the criteria for classification as a Two-Year 1 in 2011-12."/>
    <n v="157711"/>
    <x v="7"/>
    <n v="164331"/>
    <n v="173310"/>
    <n v="102798"/>
    <n v="100379"/>
    <n v="5810"/>
    <n v="6808"/>
    <n v="48956"/>
    <n v="6767"/>
    <m/>
    <n v="60329"/>
    <n v="5794"/>
    <m/>
    <m/>
    <m/>
    <n v="0"/>
    <n v="0"/>
    <m/>
    <m/>
    <m/>
    <m/>
    <m/>
    <m/>
    <m/>
    <m/>
    <m/>
    <m/>
    <m/>
    <m/>
  </r>
  <r>
    <x v="5"/>
    <s v="Southeast Kentucky Community and Technical College"/>
    <m/>
    <n v="157739"/>
    <x v="7"/>
    <n v="76086"/>
    <n v="72001"/>
    <n v="26164"/>
    <n v="23373"/>
    <n v="28175"/>
    <n v="26834"/>
    <n v="18930"/>
    <n v="2817"/>
    <m/>
    <n v="19281"/>
    <n v="2513"/>
    <m/>
    <m/>
    <m/>
    <n v="0"/>
    <n v="0"/>
    <m/>
    <m/>
    <m/>
    <m/>
    <m/>
    <m/>
    <m/>
    <m/>
    <m/>
    <m/>
    <m/>
    <m/>
  </r>
  <r>
    <x v="5"/>
    <s v="West Kentucky Community and Technical College"/>
    <m/>
    <n v="157483"/>
    <x v="7"/>
    <n v="122445"/>
    <n v="128318"/>
    <n v="81396"/>
    <n v="84238"/>
    <n v="2607"/>
    <n v="1248"/>
    <n v="38046"/>
    <n v="396"/>
    <m/>
    <n v="42350"/>
    <n v="482"/>
    <m/>
    <m/>
    <m/>
    <n v="0"/>
    <n v="0"/>
    <m/>
    <m/>
    <m/>
    <m/>
    <m/>
    <m/>
    <m/>
    <m/>
    <m/>
    <m/>
    <m/>
    <m/>
  </r>
  <r>
    <x v="5"/>
    <s v="Hazard Community and Technical College"/>
    <s v="Met the criteria for classification as a Two-Year 2 in 2010-11 and 2011-12."/>
    <n v="156790"/>
    <x v="8"/>
    <n v="69676"/>
    <n v="68363"/>
    <n v="50684"/>
    <n v="45057"/>
    <n v="336"/>
    <n v="452"/>
    <n v="16928"/>
    <n v="1728"/>
    <m/>
    <n v="21049"/>
    <n v="1805"/>
    <m/>
    <m/>
    <m/>
    <n v="0"/>
    <n v="0"/>
    <m/>
    <m/>
    <m/>
    <m/>
    <m/>
    <m/>
    <m/>
    <m/>
    <m/>
    <m/>
    <m/>
    <m/>
  </r>
  <r>
    <x v="5"/>
    <s v="Henderson Community College "/>
    <m/>
    <n v="156851"/>
    <x v="8"/>
    <n v="45194"/>
    <n v="43236"/>
    <n v="26790"/>
    <n v="24502"/>
    <n v="939"/>
    <n v="477"/>
    <n v="17071"/>
    <n v="394"/>
    <m/>
    <n v="17896"/>
    <n v="361"/>
    <m/>
    <m/>
    <m/>
    <n v="0"/>
    <n v="0"/>
    <m/>
    <m/>
    <m/>
    <m/>
    <m/>
    <m/>
    <m/>
    <m/>
    <m/>
    <m/>
    <m/>
    <m/>
  </r>
  <r>
    <x v="5"/>
    <s v="Bowling Green Technical College"/>
    <m/>
    <n v="156338"/>
    <x v="9"/>
    <n v="67511"/>
    <n v="69358"/>
    <n v="59290"/>
    <n v="58870"/>
    <n v="810"/>
    <n v="693"/>
    <n v="7411"/>
    <m/>
    <m/>
    <n v="9795"/>
    <m/>
    <m/>
    <m/>
    <m/>
    <n v="0"/>
    <n v="0"/>
    <m/>
    <m/>
    <m/>
    <m/>
    <m/>
    <m/>
    <m/>
    <m/>
    <m/>
    <m/>
    <m/>
    <m/>
  </r>
  <r>
    <x v="5"/>
    <s v="Gateway Community and Technical College"/>
    <m/>
    <n v="157438"/>
    <x v="9"/>
    <n v="70022"/>
    <n v="75156"/>
    <n v="67062"/>
    <n v="70221"/>
    <m/>
    <m/>
    <n v="2960"/>
    <m/>
    <m/>
    <n v="4935"/>
    <m/>
    <m/>
    <m/>
    <m/>
    <n v="0"/>
    <n v="0"/>
    <m/>
    <m/>
    <m/>
    <m/>
    <m/>
    <m/>
    <m/>
    <m/>
    <m/>
    <m/>
    <m/>
    <m/>
  </r>
  <r>
    <x v="6"/>
    <m/>
    <m/>
    <m/>
    <x v="0"/>
    <m/>
    <m/>
    <m/>
    <m/>
    <m/>
    <m/>
    <m/>
    <m/>
    <m/>
    <m/>
    <m/>
    <m/>
    <m/>
    <m/>
    <m/>
    <m/>
    <m/>
    <m/>
    <m/>
    <m/>
    <m/>
    <m/>
    <m/>
    <m/>
    <m/>
    <m/>
    <m/>
    <m/>
  </r>
  <r>
    <x v="7"/>
    <s v="University of Maryland College Park"/>
    <m/>
    <n v="163286"/>
    <x v="0"/>
    <n v="799218"/>
    <n v="799551"/>
    <n v="771256"/>
    <n v="766563"/>
    <n v="16898"/>
    <n v="18027"/>
    <n v="10719"/>
    <n v="345"/>
    <m/>
    <n v="14961"/>
    <n v="0"/>
    <n v="0"/>
    <m/>
    <n v="0"/>
    <n v="156544.5"/>
    <n v="158873"/>
    <n v="115130.5"/>
    <n v="114938"/>
    <n v="35031"/>
    <n v="37212"/>
    <n v="5393"/>
    <n v="990"/>
    <m/>
    <n v="5774"/>
    <n v="949"/>
    <n v="0"/>
    <m/>
    <n v="0"/>
  </r>
  <r>
    <x v="7"/>
    <s v="Morgan State University"/>
    <s v="Reclassified: Met the criteria for  Four-Year 2 in 2009-10, 2010-11 and 2011-12."/>
    <n v="163453"/>
    <x v="1"/>
    <n v="181220"/>
    <n v="191053"/>
    <n v="180110"/>
    <n v="188521"/>
    <n v="408"/>
    <n v="404"/>
    <n v="702"/>
    <m/>
    <m/>
    <n v="2128"/>
    <n v="0"/>
    <n v="0"/>
    <m/>
    <n v="0"/>
    <n v="17903"/>
    <n v="20593"/>
    <n v="16748"/>
    <n v="18313"/>
    <n v="585"/>
    <n v="583"/>
    <n v="570"/>
    <m/>
    <m/>
    <n v="1697"/>
    <n v="0"/>
    <n v="0"/>
    <m/>
    <n v="0"/>
  </r>
  <r>
    <x v="7"/>
    <s v="University of Maryland, Baltimore County"/>
    <m/>
    <n v="163268"/>
    <x v="1"/>
    <n v="290420.5"/>
    <n v="297770"/>
    <n v="262511.5"/>
    <n v="266582"/>
    <n v="5732"/>
    <n v="5529"/>
    <n v="22177"/>
    <m/>
    <m/>
    <n v="25659"/>
    <n v="0"/>
    <n v="0"/>
    <m/>
    <n v="0"/>
    <n v="35406"/>
    <n v="33838"/>
    <n v="26415"/>
    <n v="26158"/>
    <n v="2985"/>
    <n v="2146"/>
    <n v="5494"/>
    <n v="444"/>
    <n v="68"/>
    <n v="5534"/>
    <n v="0"/>
    <n v="0"/>
    <m/>
    <n v="0"/>
  </r>
  <r>
    <x v="7"/>
    <s v="Towson University "/>
    <m/>
    <n v="164076"/>
    <x v="2"/>
    <n v="506715.5"/>
    <n v="506306.5"/>
    <n v="471904.5"/>
    <n v="470902.5"/>
    <n v="9687"/>
    <n v="9374"/>
    <n v="25124"/>
    <m/>
    <m/>
    <n v="25793"/>
    <n v="237"/>
    <n v="0"/>
    <m/>
    <n v="0"/>
    <n v="58131.5"/>
    <n v="57519"/>
    <n v="35962.5"/>
    <n v="36863"/>
    <n v="15930"/>
    <n v="12597"/>
    <n v="6098"/>
    <n v="141"/>
    <m/>
    <n v="7732"/>
    <n v="327"/>
    <n v="0"/>
    <m/>
    <n v="0"/>
  </r>
  <r>
    <x v="7"/>
    <s v="Bowie State University "/>
    <m/>
    <n v="162007"/>
    <x v="3"/>
    <n v="121720"/>
    <n v="122617"/>
    <n v="112688"/>
    <n v="111003"/>
    <n v="905"/>
    <n v="1017"/>
    <n v="8127"/>
    <m/>
    <m/>
    <n v="10597"/>
    <n v="0"/>
    <n v="0"/>
    <m/>
    <n v="0"/>
    <n v="16332"/>
    <n v="15966"/>
    <n v="15461"/>
    <n v="15050"/>
    <n v="340"/>
    <n v="236"/>
    <n v="531"/>
    <m/>
    <m/>
    <n v="680"/>
    <n v="0"/>
    <n v="0"/>
    <m/>
    <n v="0"/>
  </r>
  <r>
    <x v="7"/>
    <s v="Coppin State University"/>
    <s v="Met the criteria for Four-Year 5 in 2010-11 and 2011-12."/>
    <n v="162283"/>
    <x v="3"/>
    <n v="93467"/>
    <n v="90877"/>
    <n v="85096"/>
    <n v="81079"/>
    <n v="0"/>
    <n v="0"/>
    <n v="8371"/>
    <m/>
    <m/>
    <n v="9798"/>
    <n v="0"/>
    <n v="0"/>
    <m/>
    <n v="0"/>
    <n v="7544"/>
    <n v="6866"/>
    <n v="5601"/>
    <n v="5747"/>
    <n v="1035"/>
    <n v="336"/>
    <n v="908"/>
    <m/>
    <m/>
    <n v="783"/>
    <n v="0"/>
    <n v="0"/>
    <m/>
    <n v="0"/>
  </r>
  <r>
    <x v="7"/>
    <s v="Frostburg State University "/>
    <m/>
    <n v="162584"/>
    <x v="3"/>
    <n v="137084"/>
    <n v="136980"/>
    <n v="122380"/>
    <n v="120267"/>
    <n v="1978"/>
    <n v="2334"/>
    <n v="12660"/>
    <n v="66"/>
    <m/>
    <n v="14298"/>
    <n v="81"/>
    <n v="0"/>
    <m/>
    <n v="0"/>
    <n v="11123"/>
    <n v="10914.5"/>
    <n v="4607"/>
    <n v="4152.5"/>
    <n v="2741"/>
    <n v="1894"/>
    <n v="3646"/>
    <n v="129"/>
    <m/>
    <n v="4868"/>
    <n v="0"/>
    <n v="0"/>
    <m/>
    <n v="0"/>
  </r>
  <r>
    <x v="7"/>
    <s v="Salisbury University "/>
    <m/>
    <n v="163851"/>
    <x v="3"/>
    <n v="226113"/>
    <n v="231853"/>
    <n v="209991"/>
    <n v="211326"/>
    <n v="1472"/>
    <n v="1391"/>
    <n v="13671"/>
    <n v="979"/>
    <m/>
    <n v="16697"/>
    <n v="2439"/>
    <n v="0"/>
    <m/>
    <n v="0"/>
    <n v="9829"/>
    <n v="11568"/>
    <n v="6259"/>
    <n v="5917"/>
    <n v="174"/>
    <n v="159"/>
    <n v="2091"/>
    <n v="1305"/>
    <m/>
    <n v="2702"/>
    <n v="2790"/>
    <n v="0"/>
    <m/>
    <n v="0"/>
  </r>
  <r>
    <x v="7"/>
    <s v="University of Baltimore"/>
    <m/>
    <n v="161873"/>
    <x v="3"/>
    <n v="69333"/>
    <n v="71004"/>
    <n v="55373"/>
    <n v="57496"/>
    <n v="1359"/>
    <n v="967"/>
    <n v="12601"/>
    <m/>
    <m/>
    <n v="12541"/>
    <n v="0"/>
    <n v="0"/>
    <m/>
    <n v="0"/>
    <n v="137530"/>
    <n v="56542"/>
    <n v="46305"/>
    <n v="46274"/>
    <n v="2255"/>
    <n v="1754"/>
    <n v="88970"/>
    <m/>
    <m/>
    <n v="8514"/>
    <n v="0"/>
    <n v="0"/>
    <m/>
    <n v="0"/>
  </r>
  <r>
    <x v="7"/>
    <s v="University of Maryland Eastern Shore "/>
    <m/>
    <n v="163338"/>
    <x v="3"/>
    <n v="117477"/>
    <n v="114098.5"/>
    <n v="111235"/>
    <n v="106429.5"/>
    <n v="2276"/>
    <n v="2637"/>
    <n v="3966"/>
    <m/>
    <m/>
    <n v="5032"/>
    <n v="0"/>
    <n v="0"/>
    <m/>
    <n v="0"/>
    <n v="9092"/>
    <n v="14028.5"/>
    <n v="8756"/>
    <n v="13716.5"/>
    <n v="192"/>
    <n v="99"/>
    <n v="144"/>
    <m/>
    <m/>
    <n v="213"/>
    <n v="0"/>
    <n v="0"/>
    <m/>
    <n v="0"/>
  </r>
  <r>
    <x v="7"/>
    <s v="Saint Mary's College of Maryland"/>
    <s v="Met the criteria for Four-Year 5 in 2010-11 and 2011-12."/>
    <n v="163912"/>
    <x v="5"/>
    <n v="62834.5"/>
    <n v="65152.5"/>
    <n v="62834.5"/>
    <n v="65152.5"/>
    <n v="0"/>
    <n v="0"/>
    <m/>
    <m/>
    <m/>
    <n v="0"/>
    <n v="0"/>
    <n v="0"/>
    <m/>
    <n v="0"/>
    <n v="1937"/>
    <n v="1577"/>
    <n v="1937"/>
    <n v="1577"/>
    <m/>
    <m/>
    <m/>
    <m/>
    <m/>
    <n v="0"/>
    <n v="0"/>
    <n v="0"/>
    <m/>
    <n v="0"/>
  </r>
  <r>
    <x v="7"/>
    <s v="Anne Arundel Community College "/>
    <m/>
    <n v="161767"/>
    <x v="6"/>
    <n v="329974.5"/>
    <n v="331724"/>
    <n v="251912.5"/>
    <n v="247819"/>
    <n v="4804"/>
    <n v="4294"/>
    <n v="72439"/>
    <n v="297"/>
    <n v="522"/>
    <n v="79373"/>
    <n v="238"/>
    <n v="0"/>
    <m/>
    <n v="0"/>
    <n v="0"/>
    <n v="0"/>
    <m/>
    <m/>
    <m/>
    <m/>
    <m/>
    <m/>
    <m/>
    <m/>
    <m/>
    <m/>
    <m/>
    <m/>
  </r>
  <r>
    <x v="7"/>
    <s v="College of Southern Maryland"/>
    <s v="Reclassified: Met the criteria for Two-Year 1 in 2009-10, 2010-11, and 2011-12."/>
    <n v="162122"/>
    <x v="6"/>
    <n v="164066"/>
    <n v="169607"/>
    <n v="112750"/>
    <n v="112709"/>
    <n v="3789"/>
    <n v="4684"/>
    <n v="45293"/>
    <n v="1342"/>
    <n v="892"/>
    <n v="50522"/>
    <n v="832"/>
    <n v="860"/>
    <m/>
    <n v="0"/>
    <n v="0"/>
    <n v="0"/>
    <m/>
    <m/>
    <m/>
    <m/>
    <m/>
    <m/>
    <m/>
    <m/>
    <m/>
    <m/>
    <m/>
    <m/>
  </r>
  <r>
    <x v="7"/>
    <s v="Community College of Baltimore County (all campuses)"/>
    <m/>
    <n v="434672"/>
    <x v="6"/>
    <n v="477384"/>
    <n v="483407.5"/>
    <n v="389931.5"/>
    <n v="390798"/>
    <n v="34196"/>
    <n v="36171.5"/>
    <n v="52725.5"/>
    <n v="531"/>
    <m/>
    <n v="56039"/>
    <n v="399"/>
    <n v="0"/>
    <m/>
    <n v="0"/>
    <n v="0"/>
    <n v="0"/>
    <m/>
    <m/>
    <m/>
    <m/>
    <m/>
    <m/>
    <m/>
    <m/>
    <m/>
    <m/>
    <m/>
    <m/>
  </r>
  <r>
    <x v="7"/>
    <s v="Howard Community College "/>
    <s v="Reclassified: Met the criteria for Two-Year 1 in 2009-10, 2010-11, and 2011-12."/>
    <n v="162779"/>
    <x v="6"/>
    <n v="177846"/>
    <n v="191227"/>
    <n v="156256"/>
    <n v="165234"/>
    <n v="7255"/>
    <n v="7512"/>
    <n v="13747"/>
    <n v="9"/>
    <n v="579"/>
    <n v="18362"/>
    <n v="0"/>
    <n v="119"/>
    <m/>
    <n v="0"/>
    <n v="0"/>
    <n v="0"/>
    <m/>
    <m/>
    <m/>
    <m/>
    <m/>
    <m/>
    <m/>
    <m/>
    <m/>
    <m/>
    <m/>
    <m/>
  </r>
  <r>
    <x v="7"/>
    <s v="Montgomery College (all campuses)"/>
    <m/>
    <n v="163426"/>
    <x v="6"/>
    <n v="561477.19999999995"/>
    <n v="538774"/>
    <n v="506365"/>
    <n v="485280"/>
    <n v="23862.2"/>
    <n v="3237"/>
    <n v="31250"/>
    <m/>
    <m/>
    <n v="50257"/>
    <n v="0"/>
    <n v="0"/>
    <m/>
    <n v="0"/>
    <n v="0"/>
    <n v="0"/>
    <m/>
    <m/>
    <m/>
    <m/>
    <m/>
    <m/>
    <m/>
    <m/>
    <m/>
    <m/>
    <m/>
    <m/>
  </r>
  <r>
    <x v="7"/>
    <s v="Prince George's Community College "/>
    <m/>
    <n v="163657"/>
    <x v="6"/>
    <n v="388272"/>
    <n v="391184"/>
    <n v="228085"/>
    <n v="221513"/>
    <n v="121383"/>
    <n v="124659"/>
    <n v="38804"/>
    <m/>
    <m/>
    <n v="45012"/>
    <n v="0"/>
    <n v="0"/>
    <m/>
    <n v="0"/>
    <n v="0"/>
    <n v="0"/>
    <m/>
    <m/>
    <m/>
    <m/>
    <m/>
    <m/>
    <m/>
    <m/>
    <m/>
    <m/>
    <m/>
    <m/>
  </r>
  <r>
    <x v="7"/>
    <s v="Allegany College of Maryland"/>
    <m/>
    <n v="161688"/>
    <x v="7"/>
    <n v="75761"/>
    <n v="79998"/>
    <n v="55090"/>
    <n v="54308"/>
    <n v="15078"/>
    <n v="13184"/>
    <n v="3523"/>
    <n v="2070"/>
    <m/>
    <n v="10469"/>
    <n v="2037"/>
    <n v="0"/>
    <m/>
    <n v="0"/>
    <n v="0"/>
    <n v="0"/>
    <m/>
    <m/>
    <m/>
    <m/>
    <m/>
    <m/>
    <m/>
    <m/>
    <m/>
    <m/>
    <m/>
    <m/>
  </r>
  <r>
    <x v="7"/>
    <s v="Baltimore City Community College"/>
    <s v="Met the criteria for Two-Year 1 in 2011-12."/>
    <n v="161864"/>
    <x v="7"/>
    <n v="147566"/>
    <n v="151159"/>
    <n v="117477"/>
    <n v="119734"/>
    <n v="4072"/>
    <n v="3374"/>
    <n v="26017"/>
    <m/>
    <m/>
    <n v="28051"/>
    <n v="0"/>
    <n v="0"/>
    <m/>
    <n v="0"/>
    <n v="0"/>
    <n v="0"/>
    <m/>
    <m/>
    <m/>
    <m/>
    <m/>
    <m/>
    <m/>
    <m/>
    <m/>
    <m/>
    <m/>
    <m/>
  </r>
  <r>
    <x v="7"/>
    <s v="Carroll Community College"/>
    <m/>
    <n v="405872"/>
    <x v="7"/>
    <n v="79864"/>
    <n v="81913.5"/>
    <n v="71008"/>
    <n v="72208.5"/>
    <n v="0"/>
    <n v="8"/>
    <n v="8727"/>
    <n v="129"/>
    <m/>
    <n v="9568"/>
    <n v="129"/>
    <n v="0"/>
    <m/>
    <n v="0"/>
    <n v="0"/>
    <n v="0"/>
    <m/>
    <m/>
    <m/>
    <m/>
    <m/>
    <m/>
    <m/>
    <m/>
    <m/>
    <m/>
    <m/>
    <m/>
  </r>
  <r>
    <x v="7"/>
    <s v="Frederick Community College "/>
    <m/>
    <n v="162557"/>
    <x v="7"/>
    <n v="122265"/>
    <n v="124210"/>
    <n v="104884"/>
    <n v="105611"/>
    <n v="2237"/>
    <n v="3061"/>
    <n v="15144"/>
    <m/>
    <m/>
    <n v="15538"/>
    <n v="0"/>
    <n v="0"/>
    <m/>
    <n v="0"/>
    <n v="0"/>
    <n v="0"/>
    <m/>
    <m/>
    <m/>
    <m/>
    <m/>
    <m/>
    <m/>
    <m/>
    <m/>
    <m/>
    <m/>
    <m/>
  </r>
  <r>
    <x v="7"/>
    <s v="Hagerstown Community College "/>
    <m/>
    <n v="162690"/>
    <x v="7"/>
    <n v="92895"/>
    <n v="95008"/>
    <n v="74662"/>
    <n v="74544"/>
    <n v="5942"/>
    <n v="6491"/>
    <n v="12039"/>
    <m/>
    <n v="147"/>
    <n v="13860"/>
    <n v="0"/>
    <n v="0"/>
    <n v="105"/>
    <n v="113"/>
    <n v="0"/>
    <n v="0"/>
    <m/>
    <m/>
    <m/>
    <m/>
    <m/>
    <m/>
    <m/>
    <m/>
    <m/>
    <m/>
    <m/>
    <m/>
  </r>
  <r>
    <x v="7"/>
    <s v="Harford Community College "/>
    <m/>
    <n v="162706"/>
    <x v="7"/>
    <n v="133500.5"/>
    <n v="134794"/>
    <n v="106584"/>
    <n v="103584"/>
    <n v="1777"/>
    <n v="1907"/>
    <n v="25139.5"/>
    <m/>
    <m/>
    <n v="29303"/>
    <n v="0"/>
    <n v="0"/>
    <m/>
    <n v="0"/>
    <n v="0"/>
    <n v="0"/>
    <m/>
    <m/>
    <m/>
    <m/>
    <m/>
    <m/>
    <m/>
    <m/>
    <m/>
    <m/>
    <m/>
    <m/>
  </r>
  <r>
    <x v="7"/>
    <s v="Wor-Wic Community College "/>
    <m/>
    <n v="164313"/>
    <x v="7"/>
    <n v="77350"/>
    <n v="76900"/>
    <n v="67409"/>
    <n v="66734"/>
    <n v="1211"/>
    <n v="1564"/>
    <n v="8658"/>
    <n v="72"/>
    <m/>
    <n v="8503"/>
    <n v="99"/>
    <n v="0"/>
    <m/>
    <n v="0"/>
    <n v="0"/>
    <n v="0"/>
    <m/>
    <m/>
    <m/>
    <m/>
    <m/>
    <m/>
    <m/>
    <m/>
    <m/>
    <m/>
    <m/>
    <m/>
  </r>
  <r>
    <x v="7"/>
    <s v="Cecil Community College "/>
    <m/>
    <n v="162104"/>
    <x v="8"/>
    <n v="48917.5"/>
    <n v="49051"/>
    <n v="40188.5"/>
    <n v="38745"/>
    <n v="1130"/>
    <n v="665"/>
    <n v="7599"/>
    <m/>
    <m/>
    <n v="9641"/>
    <n v="0"/>
    <n v="0"/>
    <m/>
    <n v="0"/>
    <n v="0"/>
    <n v="0"/>
    <m/>
    <m/>
    <m/>
    <m/>
    <m/>
    <m/>
    <m/>
    <m/>
    <m/>
    <m/>
    <m/>
    <m/>
  </r>
  <r>
    <x v="7"/>
    <s v="Chesapeake College "/>
    <m/>
    <n v="162168"/>
    <x v="8"/>
    <n v="54337"/>
    <n v="52932"/>
    <n v="37715"/>
    <n v="34103"/>
    <n v="9220"/>
    <n v="8976"/>
    <n v="6329"/>
    <n v="1043"/>
    <m/>
    <n v="8911"/>
    <n v="942"/>
    <n v="0"/>
    <n v="30"/>
    <n v="0"/>
    <n v="0"/>
    <n v="0"/>
    <m/>
    <m/>
    <m/>
    <m/>
    <m/>
    <m/>
    <m/>
    <m/>
    <m/>
    <m/>
    <m/>
    <m/>
  </r>
  <r>
    <x v="7"/>
    <s v="Garrett College "/>
    <m/>
    <n v="162609"/>
    <x v="8"/>
    <n v="20422.75"/>
    <n v="23845.75"/>
    <n v="16790.75"/>
    <n v="20284.75"/>
    <n v="1276"/>
    <n v="837"/>
    <n v="2125"/>
    <n v="231"/>
    <m/>
    <n v="2511"/>
    <n v="213"/>
    <n v="0"/>
    <m/>
    <n v="0"/>
    <n v="0"/>
    <n v="0"/>
    <m/>
    <m/>
    <m/>
    <m/>
    <m/>
    <m/>
    <m/>
    <m/>
    <m/>
    <m/>
    <m/>
    <m/>
  </r>
  <r>
    <x v="7"/>
    <s v="University of Maryland University College"/>
    <m/>
    <n v="163204"/>
    <x v="12"/>
    <n v="422643"/>
    <n v="467863"/>
    <n v="0"/>
    <n v="0"/>
    <n v="57209"/>
    <n v="42577"/>
    <n v="365434"/>
    <m/>
    <m/>
    <n v="425286"/>
    <n v="0"/>
    <n v="0"/>
    <m/>
    <n v="0"/>
    <n v="173875"/>
    <n v="189917"/>
    <m/>
    <m/>
    <m/>
    <m/>
    <n v="173875"/>
    <m/>
    <m/>
    <n v="189917"/>
    <n v="0"/>
    <n v="0"/>
    <m/>
    <n v="0"/>
  </r>
  <r>
    <x v="8"/>
    <s v="Mississippi State University"/>
    <m/>
    <n v="176080"/>
    <x v="0"/>
    <n v="418441"/>
    <n v="442000"/>
    <n v="384596"/>
    <n v="406119"/>
    <n v="11858"/>
    <n v="11862"/>
    <n v="21750"/>
    <n v="159"/>
    <n v="78"/>
    <n v="23828"/>
    <n v="189"/>
    <n v="0"/>
    <m/>
    <n v="2"/>
    <n v="64561"/>
    <n v="64674"/>
    <n v="48053"/>
    <n v="46886"/>
    <n v="2945"/>
    <n v="2721"/>
    <n v="13172"/>
    <n v="388"/>
    <n v="3"/>
    <n v="14596"/>
    <n v="450"/>
    <n v="21"/>
    <m/>
    <m/>
  </r>
  <r>
    <x v="8"/>
    <s v="University of Southern Mississippi"/>
    <m/>
    <n v="176372"/>
    <x v="0"/>
    <n v="342644"/>
    <n v="348323"/>
    <n v="271156"/>
    <n v="274414"/>
    <n v="37295"/>
    <n v="38610"/>
    <n v="31314"/>
    <n v="317"/>
    <n v="2562"/>
    <n v="34886"/>
    <n v="413"/>
    <n v="0"/>
    <m/>
    <n v="0"/>
    <n v="59544"/>
    <n v="58574"/>
    <n v="37332"/>
    <n v="36161"/>
    <n v="5629"/>
    <n v="5089"/>
    <n v="16379"/>
    <n v="201"/>
    <n v="3"/>
    <n v="17161"/>
    <n v="157"/>
    <n v="6"/>
    <m/>
    <m/>
  </r>
  <r>
    <x v="8"/>
    <s v="Jackson State University "/>
    <m/>
    <n v="175856"/>
    <x v="1"/>
    <n v="162509.5"/>
    <n v="171406"/>
    <n v="147783.5"/>
    <n v="155157"/>
    <n v="11221"/>
    <n v="7941"/>
    <n v="3505"/>
    <m/>
    <m/>
    <n v="8308"/>
    <m/>
    <m/>
    <m/>
    <m/>
    <n v="30916.5"/>
    <n v="34161"/>
    <n v="20721.5"/>
    <n v="27375"/>
    <n v="9569"/>
    <n v="5704"/>
    <n v="626"/>
    <m/>
    <m/>
    <n v="1082"/>
    <m/>
    <m/>
    <m/>
    <m/>
  </r>
  <r>
    <x v="8"/>
    <s v="University of Mississippi"/>
    <s v="Met the criteria for Four-Year 1 in 2011-12."/>
    <n v="176017"/>
    <x v="1"/>
    <n v="414725"/>
    <n v="442900"/>
    <n v="372564"/>
    <n v="398995"/>
    <n v="24938"/>
    <n v="25715"/>
    <n v="8951"/>
    <n v="8266"/>
    <m/>
    <n v="9905"/>
    <n v="8285"/>
    <m/>
    <n v="6"/>
    <m/>
    <n v="56846"/>
    <n v="58767"/>
    <n v="51344"/>
    <n v="52323"/>
    <n v="2643"/>
    <n v="1863"/>
    <n v="1812"/>
    <n v="1044"/>
    <m/>
    <n v="2910"/>
    <n v="1671"/>
    <m/>
    <n v="3"/>
    <m/>
  </r>
  <r>
    <x v="8"/>
    <s v="Alcorn State University"/>
    <m/>
    <n v="175342"/>
    <x v="3"/>
    <n v="84461"/>
    <n v="94366"/>
    <n v="72596"/>
    <n v="77881"/>
    <m/>
    <m/>
    <n v="11651"/>
    <s v=" "/>
    <n v="192"/>
    <n v="16381"/>
    <m/>
    <n v="104"/>
    <n v="22"/>
    <n v="0"/>
    <n v="12210"/>
    <n v="12887"/>
    <n v="7084"/>
    <n v="5531"/>
    <m/>
    <m/>
    <n v="5087"/>
    <m/>
    <n v="39"/>
    <n v="7346"/>
    <m/>
    <n v="10"/>
    <m/>
    <n v="0"/>
  </r>
  <r>
    <x v="8"/>
    <s v="Delta State University"/>
    <m/>
    <n v="175616"/>
    <x v="3"/>
    <n v="77725"/>
    <n v="75114"/>
    <n v="62670.5"/>
    <n v="59051"/>
    <n v="2610"/>
    <n v="1666"/>
    <n v="12435.5"/>
    <m/>
    <m/>
    <n v="14388"/>
    <m/>
    <m/>
    <n v="9"/>
    <n v="9"/>
    <n v="19448"/>
    <n v="22851"/>
    <n v="10402"/>
    <n v="13929"/>
    <n v="291"/>
    <n v="324"/>
    <n v="8755"/>
    <m/>
    <m/>
    <n v="8598"/>
    <m/>
    <m/>
    <m/>
    <m/>
  </r>
  <r>
    <x v="8"/>
    <s v="Mississippi Valley State University"/>
    <m/>
    <n v="176044"/>
    <x v="3"/>
    <n v="66168"/>
    <n v="62282"/>
    <n v="57652"/>
    <n v="51226"/>
    <n v="2091"/>
    <n v="1338"/>
    <n v="5042"/>
    <m/>
    <n v="372"/>
    <n v="8592"/>
    <m/>
    <n v="301"/>
    <n v="1011"/>
    <n v="825"/>
    <n v="6652"/>
    <n v="10419"/>
    <n v="5006"/>
    <n v="8217"/>
    <n v="408"/>
    <n v="138"/>
    <n v="1061"/>
    <m/>
    <n v="177"/>
    <n v="1860"/>
    <m/>
    <n v="204"/>
    <m/>
    <n v="0"/>
  </r>
  <r>
    <x v="8"/>
    <s v="Mississippi University for Women"/>
    <m/>
    <n v="176035"/>
    <x v="4"/>
    <n v="63024"/>
    <n v="67624"/>
    <n v="43855"/>
    <n v="39952"/>
    <m/>
    <m/>
    <n v="19169"/>
    <m/>
    <m/>
    <n v="27672"/>
    <m/>
    <m/>
    <m/>
    <m/>
    <n v="4501"/>
    <n v="4260"/>
    <n v="2986"/>
    <n v="2743"/>
    <n v="276"/>
    <n v="328"/>
    <n v="1239"/>
    <m/>
    <m/>
    <n v="1189"/>
    <m/>
    <m/>
    <m/>
    <m/>
  </r>
  <r>
    <x v="8"/>
    <s v="Hinds Community College "/>
    <m/>
    <n v="175786"/>
    <x v="6"/>
    <n v="340377"/>
    <n v="338896"/>
    <n v="291407"/>
    <n v="287701"/>
    <m/>
    <m/>
    <n v="48970"/>
    <m/>
    <m/>
    <n v="51195"/>
    <m/>
    <m/>
    <m/>
    <m/>
    <n v="0"/>
    <n v="0"/>
    <m/>
    <m/>
    <m/>
    <m/>
    <m/>
    <m/>
    <m/>
    <m/>
    <m/>
    <m/>
    <m/>
    <m/>
  </r>
  <r>
    <x v="8"/>
    <s v="Itawamba Community College "/>
    <s v="Met criteria for Two-Year 2 2011-12."/>
    <n v="175829"/>
    <x v="6"/>
    <n v="226292"/>
    <n v="204086"/>
    <n v="138709"/>
    <n v="124506"/>
    <m/>
    <m/>
    <n v="87583"/>
    <m/>
    <m/>
    <n v="79580"/>
    <m/>
    <m/>
    <m/>
    <m/>
    <n v="0"/>
    <n v="0"/>
    <m/>
    <m/>
    <m/>
    <m/>
    <m/>
    <m/>
    <m/>
    <m/>
    <m/>
    <m/>
    <m/>
    <m/>
  </r>
  <r>
    <x v="8"/>
    <s v="Mississippi Gulf Coast Community College "/>
    <s v="Met criteria for Two-Year 2 2011-12."/>
    <n v="176071"/>
    <x v="6"/>
    <n v="260228"/>
    <n v="254461"/>
    <n v="217283"/>
    <n v="204991"/>
    <m/>
    <m/>
    <n v="42945"/>
    <m/>
    <m/>
    <n v="49470"/>
    <m/>
    <m/>
    <m/>
    <m/>
    <n v="0"/>
    <n v="0"/>
    <m/>
    <m/>
    <m/>
    <m/>
    <m/>
    <m/>
    <m/>
    <m/>
    <m/>
    <m/>
    <m/>
    <m/>
  </r>
  <r>
    <x v="8"/>
    <s v="Northwest Mississippi Community College "/>
    <s v="Met criteria for Two-Year 2 2011-12."/>
    <n v="176178"/>
    <x v="6"/>
    <n v="219847"/>
    <n v="215284"/>
    <n v="183910"/>
    <n v="178486"/>
    <m/>
    <m/>
    <n v="35937"/>
    <m/>
    <m/>
    <n v="36798"/>
    <m/>
    <m/>
    <m/>
    <m/>
    <n v="0"/>
    <n v="0"/>
    <m/>
    <m/>
    <m/>
    <m/>
    <m/>
    <m/>
    <m/>
    <m/>
    <m/>
    <m/>
    <m/>
    <m/>
  </r>
  <r>
    <x v="8"/>
    <s v="Copiah-Lincoln Community College "/>
    <s v="Met criteria for Two-Year 3 2011-12."/>
    <n v="175573"/>
    <x v="7"/>
    <n v="105575"/>
    <n v="99639"/>
    <n v="85329"/>
    <n v="78979"/>
    <m/>
    <m/>
    <n v="20246"/>
    <m/>
    <m/>
    <n v="20660"/>
    <m/>
    <m/>
    <m/>
    <m/>
    <n v="0"/>
    <n v="0"/>
    <m/>
    <m/>
    <m/>
    <m/>
    <m/>
    <m/>
    <m/>
    <m/>
    <m/>
    <m/>
    <m/>
    <m/>
  </r>
  <r>
    <x v="8"/>
    <s v="East Central Community College "/>
    <s v="Met criteria for Two-Year 3 2011-12."/>
    <n v="175643"/>
    <x v="7"/>
    <n v="72447"/>
    <n v="70659"/>
    <n v="60992"/>
    <n v="59097"/>
    <m/>
    <m/>
    <n v="11455"/>
    <m/>
    <m/>
    <n v="11562"/>
    <m/>
    <m/>
    <m/>
    <m/>
    <n v="0"/>
    <n v="0"/>
    <m/>
    <m/>
    <m/>
    <m/>
    <m/>
    <m/>
    <m/>
    <m/>
    <m/>
    <m/>
    <m/>
    <m/>
  </r>
  <r>
    <x v="8"/>
    <s v="East Mississippi Community College "/>
    <m/>
    <n v="175652"/>
    <x v="7"/>
    <n v="134386"/>
    <n v="129678"/>
    <n v="95985"/>
    <n v="87110"/>
    <m/>
    <m/>
    <n v="38401"/>
    <m/>
    <m/>
    <n v="42568"/>
    <m/>
    <m/>
    <m/>
    <m/>
    <n v="0"/>
    <n v="0"/>
    <m/>
    <m/>
    <m/>
    <m/>
    <m/>
    <m/>
    <m/>
    <m/>
    <m/>
    <m/>
    <m/>
    <m/>
  </r>
  <r>
    <x v="8"/>
    <s v="Holmes Community College "/>
    <m/>
    <n v="175810"/>
    <x v="7"/>
    <n v="161641"/>
    <n v="164122"/>
    <n v="141652"/>
    <n v="135843"/>
    <m/>
    <m/>
    <n v="19989"/>
    <m/>
    <m/>
    <n v="28279"/>
    <m/>
    <m/>
    <m/>
    <m/>
    <n v="0"/>
    <n v="0"/>
    <m/>
    <m/>
    <m/>
    <m/>
    <m/>
    <m/>
    <m/>
    <m/>
    <m/>
    <m/>
    <m/>
    <m/>
  </r>
  <r>
    <x v="8"/>
    <s v="Jones County Junior College "/>
    <m/>
    <n v="175883"/>
    <x v="7"/>
    <n v="151640"/>
    <n v="139066"/>
    <n v="125810"/>
    <n v="117067"/>
    <m/>
    <m/>
    <n v="25830"/>
    <m/>
    <m/>
    <n v="21999"/>
    <m/>
    <m/>
    <m/>
    <m/>
    <n v="0"/>
    <n v="0"/>
    <m/>
    <m/>
    <m/>
    <m/>
    <m/>
    <m/>
    <m/>
    <m/>
    <m/>
    <m/>
    <m/>
    <m/>
  </r>
  <r>
    <x v="8"/>
    <s v="Meridian Community College "/>
    <s v="Met criteria for Two-Year 3 2011-12."/>
    <n v="175935"/>
    <x v="7"/>
    <n v="102621"/>
    <n v="101121.5"/>
    <n v="88973"/>
    <n v="86567.5"/>
    <m/>
    <m/>
    <n v="13648"/>
    <m/>
    <m/>
    <n v="14554"/>
    <m/>
    <m/>
    <m/>
    <m/>
    <n v="0"/>
    <n v="0"/>
    <m/>
    <m/>
    <m/>
    <m/>
    <m/>
    <m/>
    <m/>
    <m/>
    <m/>
    <m/>
    <m/>
    <m/>
  </r>
  <r>
    <x v="8"/>
    <s v="Mississippi Delta Community College "/>
    <s v="Met criteria for Two-Year 3 2011-12."/>
    <n v="176008"/>
    <x v="7"/>
    <n v="95578"/>
    <n v="88891"/>
    <n v="80457"/>
    <n v="74233"/>
    <m/>
    <m/>
    <n v="15121"/>
    <m/>
    <m/>
    <n v="14658"/>
    <m/>
    <m/>
    <m/>
    <m/>
    <n v="0"/>
    <n v="0"/>
    <m/>
    <m/>
    <m/>
    <m/>
    <m/>
    <m/>
    <m/>
    <m/>
    <m/>
    <m/>
    <m/>
    <m/>
  </r>
  <r>
    <x v="8"/>
    <s v="Northeast Mississippi Community College "/>
    <s v="Met criteria for Two-Year 3 2011-12."/>
    <n v="176169"/>
    <x v="7"/>
    <n v="98780"/>
    <n v="98233"/>
    <n v="86696"/>
    <n v="82970"/>
    <m/>
    <m/>
    <n v="12084"/>
    <m/>
    <m/>
    <n v="15263"/>
    <m/>
    <m/>
    <m/>
    <m/>
    <n v="0"/>
    <n v="0"/>
    <m/>
    <m/>
    <m/>
    <m/>
    <m/>
    <m/>
    <m/>
    <m/>
    <m/>
    <m/>
    <m/>
    <m/>
  </r>
  <r>
    <x v="8"/>
    <s v="Pearl River Community College "/>
    <m/>
    <n v="176239"/>
    <x v="7"/>
    <n v="129439"/>
    <n v="129908"/>
    <n v="113535"/>
    <n v="110906"/>
    <m/>
    <m/>
    <n v="15904"/>
    <m/>
    <m/>
    <n v="19002"/>
    <m/>
    <m/>
    <m/>
    <m/>
    <n v="0"/>
    <n v="0"/>
    <m/>
    <m/>
    <m/>
    <m/>
    <m/>
    <m/>
    <m/>
    <m/>
    <m/>
    <m/>
    <m/>
    <m/>
  </r>
  <r>
    <x v="8"/>
    <s v="Coahoma Community College "/>
    <m/>
    <n v="175519"/>
    <x v="8"/>
    <n v="63546"/>
    <n v="72371"/>
    <n v="59568"/>
    <n v="66559"/>
    <m/>
    <m/>
    <n v="3978"/>
    <m/>
    <m/>
    <n v="5812"/>
    <m/>
    <m/>
    <m/>
    <m/>
    <n v="0"/>
    <n v="0"/>
    <m/>
    <m/>
    <m/>
    <m/>
    <m/>
    <m/>
    <m/>
    <m/>
    <m/>
    <m/>
    <m/>
    <m/>
  </r>
  <r>
    <x v="8"/>
    <s v="Southwest Mississippi Community College"/>
    <m/>
    <n v="176354"/>
    <x v="8"/>
    <n v="56549"/>
    <n v="57111"/>
    <n v="48821"/>
    <n v="47205"/>
    <m/>
    <m/>
    <n v="7728"/>
    <m/>
    <m/>
    <n v="9906"/>
    <m/>
    <m/>
    <m/>
    <m/>
    <n v="0"/>
    <n v="0"/>
    <m/>
    <m/>
    <m/>
    <m/>
    <m/>
    <m/>
    <m/>
    <m/>
    <m/>
    <m/>
    <m/>
    <m/>
  </r>
  <r>
    <x v="9"/>
    <s v="North Carolina State University "/>
    <m/>
    <n v="199193"/>
    <x v="0"/>
    <n v="725990"/>
    <n v="730688"/>
    <n v="652424"/>
    <n v="651413"/>
    <n v="2684"/>
    <n v="2287"/>
    <n v="70435"/>
    <n v="0"/>
    <n v="447"/>
    <n v="76769"/>
    <n v="0"/>
    <n v="219"/>
    <m/>
    <m/>
    <n v="134169"/>
    <n v="141726"/>
    <n v="110680"/>
    <n v="115456"/>
    <n v="6029"/>
    <n v="5786"/>
    <n v="16980"/>
    <n v="0"/>
    <n v="480"/>
    <n v="20283"/>
    <n v="0"/>
    <n v="201"/>
    <m/>
    <m/>
  </r>
  <r>
    <x v="9"/>
    <s v="University of North Carolina at Chapel Hill "/>
    <m/>
    <n v="199120"/>
    <x v="0"/>
    <n v="508742"/>
    <n v="512048"/>
    <n v="493196"/>
    <n v="497036"/>
    <n v="509"/>
    <n v="427"/>
    <n v="15037"/>
    <n v="0"/>
    <n v="0"/>
    <n v="14582"/>
    <n v="3"/>
    <n v="0"/>
    <m/>
    <m/>
    <n v="194086"/>
    <n v="187268"/>
    <n v="163862"/>
    <n v="161566"/>
    <n v="15695"/>
    <n v="14426"/>
    <n v="14092"/>
    <n v="437"/>
    <m/>
    <n v="11177"/>
    <n v="90"/>
    <n v="9"/>
    <m/>
    <m/>
  </r>
  <r>
    <x v="9"/>
    <s v="University of North Carolina at Greensboro"/>
    <s v="Reclassified: met the criteria for Four-Year 1 in 2009-10, 2010-11 and 2011-12."/>
    <n v="199148"/>
    <x v="0"/>
    <n v="414299"/>
    <n v="420880"/>
    <n v="350322"/>
    <n v="351372"/>
    <n v="336"/>
    <n v="350"/>
    <n v="63569"/>
    <n v="72"/>
    <n v="0"/>
    <n v="69074"/>
    <n v="84"/>
    <n v="0"/>
    <m/>
    <m/>
    <n v="70539"/>
    <n v="71544"/>
    <n v="55355"/>
    <n v="55256"/>
    <n v="2232"/>
    <n v="2850"/>
    <n v="12633"/>
    <n v="319"/>
    <m/>
    <n v="13159"/>
    <n v="279"/>
    <n v="0"/>
    <m/>
    <m/>
  </r>
  <r>
    <x v="9"/>
    <s v="University of North Carolina at Charlotte"/>
    <m/>
    <n v="199139"/>
    <x v="1"/>
    <n v="550912"/>
    <n v="566448"/>
    <n v="530225"/>
    <n v="543221"/>
    <n v="561"/>
    <n v="240"/>
    <n v="20126"/>
    <n v="0"/>
    <n v="0"/>
    <n v="22975"/>
    <n v="12"/>
    <n v="0"/>
    <m/>
    <m/>
    <n v="74936"/>
    <n v="71816"/>
    <n v="61026"/>
    <n v="59266"/>
    <n v="3771"/>
    <n v="2424"/>
    <n v="10115"/>
    <n v="24"/>
    <m/>
    <n v="10099"/>
    <n v="27"/>
    <n v="0"/>
    <m/>
    <m/>
  </r>
  <r>
    <x v="9"/>
    <s v="Appalachian State University "/>
    <m/>
    <n v="197869"/>
    <x v="2"/>
    <n v="453030"/>
    <n v="465831"/>
    <n v="435465"/>
    <n v="447444"/>
    <n v="9418"/>
    <n v="8773"/>
    <n v="8147"/>
    <n v="0"/>
    <n v="0"/>
    <n v="9614"/>
    <n v="0"/>
    <n v="0"/>
    <m/>
    <m/>
    <n v="38084"/>
    <n v="37025"/>
    <n v="22203"/>
    <n v="22532"/>
    <n v="11882"/>
    <n v="9215"/>
    <n v="3999"/>
    <n v="0"/>
    <m/>
    <n v="5278"/>
    <n v="0"/>
    <n v="0"/>
    <m/>
    <m/>
  </r>
  <r>
    <x v="9"/>
    <s v="East Carolina University "/>
    <s v="Met the criteria for Four-Year 2 in 2010-11 and 2011-12."/>
    <n v="198464"/>
    <x v="2"/>
    <n v="595157"/>
    <n v="597340"/>
    <n v="504109"/>
    <n v="502635"/>
    <n v="11952"/>
    <n v="7662"/>
    <n v="79096"/>
    <n v="0"/>
    <n v="0"/>
    <n v="87043"/>
    <n v="0"/>
    <n v="0"/>
    <m/>
    <m/>
    <n v="108620"/>
    <n v="103726"/>
    <n v="55748"/>
    <n v="54865"/>
    <n v="8351"/>
    <n v="7099"/>
    <n v="44521"/>
    <n v="0"/>
    <m/>
    <n v="41762"/>
    <n v="0"/>
    <n v="0"/>
    <m/>
    <m/>
  </r>
  <r>
    <x v="9"/>
    <s v="North Carolina A&amp;T State University"/>
    <m/>
    <n v="199102"/>
    <x v="2"/>
    <n v="270371"/>
    <n v="269574"/>
    <n v="248969"/>
    <n v="246539"/>
    <n v="2167"/>
    <n v="1866"/>
    <n v="19235"/>
    <n v="0"/>
    <n v="0"/>
    <n v="21065"/>
    <n v="104"/>
    <n v="0"/>
    <m/>
    <m/>
    <n v="33492"/>
    <n v="32637"/>
    <n v="24393"/>
    <n v="23326"/>
    <n v="1932"/>
    <n v="2553"/>
    <n v="7167"/>
    <n v="0"/>
    <m/>
    <n v="6758"/>
    <n v="0"/>
    <n v="0"/>
    <m/>
    <m/>
  </r>
  <r>
    <x v="9"/>
    <s v="North Carolina Central University "/>
    <m/>
    <n v="199157"/>
    <x v="2"/>
    <n v="192314"/>
    <n v="191123"/>
    <n v="179702"/>
    <n v="170621"/>
    <n v="195"/>
    <n v="165"/>
    <n v="12417"/>
    <n v="0"/>
    <n v="0"/>
    <n v="20337"/>
    <n v="0"/>
    <n v="0"/>
    <m/>
    <m/>
    <n v="43255"/>
    <n v="41457"/>
    <n v="34879"/>
    <n v="33173"/>
    <n v="1433"/>
    <n v="1059"/>
    <n v="6943"/>
    <n v="0"/>
    <m/>
    <n v="7225"/>
    <n v="0"/>
    <n v="0"/>
    <m/>
    <m/>
  </r>
  <r>
    <x v="9"/>
    <s v="University of North Carolina at Wilmington"/>
    <m/>
    <n v="199218"/>
    <x v="2"/>
    <n v="343061"/>
    <n v="349604"/>
    <n v="311729"/>
    <n v="316370"/>
    <n v="4085"/>
    <n v="11371"/>
    <n v="27157"/>
    <n v="90"/>
    <n v="0"/>
    <n v="21466"/>
    <n v="42"/>
    <n v="355"/>
    <m/>
    <m/>
    <n v="21548"/>
    <n v="20233"/>
    <n v="17764"/>
    <n v="16250"/>
    <n v="441"/>
    <n v="1181"/>
    <n v="3157"/>
    <n v="186"/>
    <m/>
    <n v="2662"/>
    <n v="105"/>
    <n v="35"/>
    <m/>
    <m/>
  </r>
  <r>
    <x v="9"/>
    <s v="Western Carolina University "/>
    <m/>
    <n v="200004"/>
    <x v="2"/>
    <n v="210642"/>
    <n v="215841"/>
    <n v="187349"/>
    <n v="192524"/>
    <n v="4540"/>
    <n v="2882"/>
    <n v="18597"/>
    <n v="156"/>
    <n v="0"/>
    <n v="20423"/>
    <n v="12"/>
    <n v="0"/>
    <m/>
    <m/>
    <n v="33816"/>
    <n v="31213"/>
    <n v="18560"/>
    <n v="17721"/>
    <n v="860"/>
    <n v="644"/>
    <n v="14066"/>
    <n v="330"/>
    <m/>
    <n v="12740"/>
    <n v="108"/>
    <n v="0"/>
    <m/>
    <m/>
  </r>
  <r>
    <x v="9"/>
    <s v="Fayetteville State University "/>
    <m/>
    <n v="198543"/>
    <x v="3"/>
    <n v="144829"/>
    <n v="148382"/>
    <n v="119447"/>
    <n v="121779"/>
    <n v="3310"/>
    <n v="2976"/>
    <n v="21922"/>
    <n v="150"/>
    <n v="0"/>
    <n v="23525"/>
    <n v="99"/>
    <n v="3"/>
    <m/>
    <m/>
    <n v="9471"/>
    <n v="10848"/>
    <n v="5492"/>
    <n v="6176"/>
    <n v="1681"/>
    <n v="1996"/>
    <n v="2298"/>
    <n v="0"/>
    <m/>
    <n v="2676"/>
    <n v="0"/>
    <n v="0"/>
    <m/>
    <m/>
  </r>
  <r>
    <x v="9"/>
    <s v="University of North Carolina at Pembroke"/>
    <m/>
    <n v="199281"/>
    <x v="4"/>
    <n v="169136"/>
    <n v="158452"/>
    <n v="131400"/>
    <n v="121438"/>
    <n v="4021"/>
    <n v="4301"/>
    <n v="33015"/>
    <n v="700"/>
    <n v="0"/>
    <n v="32199"/>
    <n v="514"/>
    <n v="0"/>
    <m/>
    <m/>
    <n v="11092"/>
    <n v="11674"/>
    <n v="4830"/>
    <n v="3950"/>
    <n v="859"/>
    <n v="1325"/>
    <n v="5349"/>
    <n v="54"/>
    <m/>
    <n v="6222"/>
    <n v="177"/>
    <n v="0"/>
    <m/>
    <m/>
  </r>
  <r>
    <x v="9"/>
    <s v="Winston-Salem State University "/>
    <m/>
    <n v="199999"/>
    <x v="4"/>
    <n v="173712"/>
    <n v="170464"/>
    <n v="140047"/>
    <n v="137482"/>
    <n v="15543"/>
    <n v="12639"/>
    <n v="18122"/>
    <n v="0"/>
    <n v="0"/>
    <n v="20343"/>
    <n v="0"/>
    <n v="0"/>
    <m/>
    <m/>
    <n v="10784"/>
    <n v="11354"/>
    <n v="9159"/>
    <n v="9579"/>
    <n v="483"/>
    <n v="235"/>
    <n v="1058"/>
    <n v="84"/>
    <m/>
    <n v="1534"/>
    <n v="6"/>
    <n v="0"/>
    <m/>
    <m/>
  </r>
  <r>
    <x v="9"/>
    <s v="Elizabeth City State University "/>
    <m/>
    <n v="198507"/>
    <x v="5"/>
    <n v="100051"/>
    <n v="95275"/>
    <n v="83505"/>
    <n v="76745"/>
    <n v="1500"/>
    <n v="1580"/>
    <n v="15046"/>
    <n v="0"/>
    <n v="0"/>
    <n v="16950"/>
    <n v="0"/>
    <n v="0"/>
    <m/>
    <m/>
    <n v="1076"/>
    <n v="1530"/>
    <n v="629"/>
    <n v="815"/>
    <n v="82"/>
    <n v="33"/>
    <n v="365"/>
    <n v="0"/>
    <m/>
    <n v="682"/>
    <n v="0"/>
    <n v="0"/>
    <m/>
    <m/>
  </r>
  <r>
    <x v="9"/>
    <s v="University of North Carolina at Asheville"/>
    <m/>
    <n v="199111"/>
    <x v="5"/>
    <n v="102465"/>
    <n v="101367"/>
    <n v="100823"/>
    <n v="99229"/>
    <n v="1642"/>
    <n v="1566"/>
    <n v="0"/>
    <n v="0"/>
    <n v="0"/>
    <n v="102"/>
    <n v="470"/>
    <n v="0"/>
    <m/>
    <m/>
    <n v="443"/>
    <n v="542"/>
    <n v="398"/>
    <n v="479"/>
    <n v="45"/>
    <n v="63"/>
    <n v="0"/>
    <n v="0"/>
    <m/>
    <n v="0"/>
    <n v="0"/>
    <n v="0"/>
    <m/>
    <m/>
  </r>
  <r>
    <x v="9"/>
    <s v="Asheville-Buncombe Technical Community College"/>
    <m/>
    <n v="197887"/>
    <x v="6"/>
    <n v="159416"/>
    <n v="168292"/>
    <n v="124856"/>
    <n v="110114"/>
    <n v="10150"/>
    <n v="9320"/>
    <n v="24410"/>
    <n v="0"/>
    <n v="0"/>
    <n v="48858"/>
    <n v="0"/>
    <n v="0"/>
    <m/>
    <m/>
    <n v="0"/>
    <n v="0"/>
    <m/>
    <m/>
    <m/>
    <m/>
    <m/>
    <m/>
    <m/>
    <m/>
    <m/>
    <m/>
    <m/>
    <m/>
  </r>
  <r>
    <x v="9"/>
    <s v="Cape Fear Community College"/>
    <m/>
    <n v="198154"/>
    <x v="6"/>
    <n v="212549"/>
    <n v="218565"/>
    <n v="175771"/>
    <n v="156583"/>
    <n v="3277"/>
    <n v="2755"/>
    <n v="33501"/>
    <n v="0"/>
    <n v="0"/>
    <n v="59227"/>
    <n v="0"/>
    <n v="0"/>
    <m/>
    <m/>
    <n v="0"/>
    <n v="0"/>
    <m/>
    <m/>
    <m/>
    <m/>
    <m/>
    <m/>
    <m/>
    <m/>
    <m/>
    <m/>
    <m/>
    <m/>
  </r>
  <r>
    <x v="9"/>
    <s v="Central Piedmont Community College "/>
    <m/>
    <n v="198260"/>
    <x v="6"/>
    <n v="409543"/>
    <n v="422728"/>
    <n v="302706"/>
    <n v="299626"/>
    <n v="15033"/>
    <n v="2879"/>
    <n v="87274"/>
    <n v="0"/>
    <n v="4530"/>
    <n v="116007"/>
    <n v="0"/>
    <n v="4216"/>
    <m/>
    <m/>
    <n v="0"/>
    <n v="0"/>
    <m/>
    <m/>
    <m/>
    <m/>
    <m/>
    <m/>
    <m/>
    <m/>
    <m/>
    <m/>
    <m/>
    <m/>
  </r>
  <r>
    <x v="9"/>
    <s v="Fayetteville Technical Community College"/>
    <m/>
    <n v="198534"/>
    <x v="6"/>
    <n v="242342"/>
    <n v="238322"/>
    <n v="151556"/>
    <n v="139964"/>
    <n v="5748"/>
    <n v="4393"/>
    <n v="83874"/>
    <n v="1164"/>
    <n v="0"/>
    <n v="92827"/>
    <n v="1138"/>
    <n v="0"/>
    <m/>
    <m/>
    <n v="0"/>
    <n v="0"/>
    <m/>
    <m/>
    <m/>
    <m/>
    <m/>
    <m/>
    <m/>
    <m/>
    <m/>
    <m/>
    <m/>
    <m/>
  </r>
  <r>
    <x v="9"/>
    <s v="Forsyth Technical Community College"/>
    <m/>
    <n v="198552"/>
    <x v="6"/>
    <n v="215071"/>
    <n v="224439"/>
    <n v="150541"/>
    <n v="138959"/>
    <n v="12413"/>
    <n v="12256"/>
    <n v="50600"/>
    <n v="1517"/>
    <n v="0"/>
    <n v="72493"/>
    <n v="731"/>
    <n v="0"/>
    <m/>
    <m/>
    <n v="0"/>
    <n v="0"/>
    <m/>
    <m/>
    <m/>
    <m/>
    <m/>
    <m/>
    <m/>
    <m/>
    <m/>
    <m/>
    <m/>
    <m/>
  </r>
  <r>
    <x v="9"/>
    <s v="Gaston College "/>
    <s v="Met criteria for Two-Year 2 in 2011-12."/>
    <n v="198570"/>
    <x v="6"/>
    <n v="151327"/>
    <n v="139553"/>
    <n v="110795"/>
    <n v="89820"/>
    <n v="5218"/>
    <n v="4600"/>
    <n v="34114"/>
    <n v="1200"/>
    <n v="0"/>
    <n v="44287"/>
    <n v="846"/>
    <n v="0"/>
    <m/>
    <m/>
    <n v="0"/>
    <n v="0"/>
    <m/>
    <m/>
    <m/>
    <m/>
    <m/>
    <m/>
    <m/>
    <m/>
    <m/>
    <m/>
    <m/>
    <m/>
  </r>
  <r>
    <x v="9"/>
    <s v="Guilford Technical Community College"/>
    <m/>
    <n v="198622"/>
    <x v="6"/>
    <n v="333447"/>
    <n v="357323"/>
    <n v="282592"/>
    <n v="234950"/>
    <n v="2805"/>
    <n v="2744"/>
    <n v="48050"/>
    <n v="0"/>
    <n v="0"/>
    <n v="119629"/>
    <n v="0"/>
    <n v="0"/>
    <m/>
    <m/>
    <n v="0"/>
    <n v="0"/>
    <m/>
    <m/>
    <m/>
    <m/>
    <m/>
    <m/>
    <m/>
    <m/>
    <m/>
    <m/>
    <m/>
    <m/>
  </r>
  <r>
    <x v="9"/>
    <s v="Pitt Community College"/>
    <m/>
    <n v="199333"/>
    <x v="6"/>
    <n v="188059"/>
    <n v="198801"/>
    <n v="136184"/>
    <n v="120569"/>
    <n v="8983"/>
    <n v="8948"/>
    <n v="42892"/>
    <n v="0"/>
    <n v="0"/>
    <n v="69284"/>
    <n v="0"/>
    <n v="0"/>
    <m/>
    <m/>
    <n v="0"/>
    <n v="0"/>
    <m/>
    <m/>
    <m/>
    <m/>
    <m/>
    <m/>
    <m/>
    <m/>
    <m/>
    <m/>
    <m/>
    <m/>
  </r>
  <r>
    <x v="9"/>
    <s v="Rowan-Cabarrus Community College"/>
    <m/>
    <n v="199494"/>
    <x v="6"/>
    <n v="166263"/>
    <n v="161032"/>
    <n v="132266"/>
    <n v="119812"/>
    <n v="3687"/>
    <n v="4957"/>
    <n v="27427"/>
    <n v="756"/>
    <n v="2127"/>
    <n v="35129"/>
    <n v="0"/>
    <n v="1134"/>
    <m/>
    <m/>
    <n v="0"/>
    <n v="0"/>
    <m/>
    <m/>
    <m/>
    <m/>
    <m/>
    <m/>
    <m/>
    <m/>
    <m/>
    <m/>
    <m/>
    <m/>
  </r>
  <r>
    <x v="9"/>
    <s v="Wake Technical Community College"/>
    <m/>
    <n v="199856"/>
    <x v="6"/>
    <n v="348159"/>
    <n v="382605"/>
    <n v="269320"/>
    <n v="272150"/>
    <n v="6433"/>
    <n v="5318"/>
    <n v="72406"/>
    <n v="0"/>
    <n v="0"/>
    <n v="105032"/>
    <n v="105"/>
    <n v="0"/>
    <m/>
    <m/>
    <n v="0"/>
    <n v="0"/>
    <m/>
    <m/>
    <m/>
    <m/>
    <m/>
    <m/>
    <m/>
    <m/>
    <m/>
    <m/>
    <m/>
    <m/>
  </r>
  <r>
    <x v="9"/>
    <s v="Alamance Community College"/>
    <m/>
    <n v="199786"/>
    <x v="7"/>
    <n v="117494"/>
    <n v="112301"/>
    <n v="99284"/>
    <n v="87417"/>
    <n v="5672"/>
    <n v="5115"/>
    <n v="12538"/>
    <n v="0"/>
    <n v="0"/>
    <n v="19769"/>
    <n v="0"/>
    <n v="0"/>
    <m/>
    <m/>
    <n v="0"/>
    <n v="0"/>
    <m/>
    <m/>
    <m/>
    <m/>
    <m/>
    <m/>
    <m/>
    <m/>
    <m/>
    <m/>
    <m/>
    <m/>
  </r>
  <r>
    <x v="9"/>
    <s v="Caldwell Community College &amp; Technical Institute"/>
    <m/>
    <n v="198118"/>
    <x v="7"/>
    <n v="107584"/>
    <n v="106665"/>
    <n v="79669"/>
    <n v="62627"/>
    <n v="7532"/>
    <n v="5073"/>
    <n v="16853"/>
    <n v="3205"/>
    <n v="325"/>
    <n v="34199"/>
    <n v="4685"/>
    <n v="81"/>
    <m/>
    <m/>
    <n v="0"/>
    <n v="0"/>
    <m/>
    <m/>
    <m/>
    <m/>
    <m/>
    <m/>
    <m/>
    <m/>
    <m/>
    <m/>
    <m/>
    <m/>
  </r>
  <r>
    <x v="9"/>
    <s v="Catawba Valley Community College"/>
    <m/>
    <n v="198233"/>
    <x v="7"/>
    <n v="125873"/>
    <n v="118488"/>
    <n v="92143"/>
    <n v="74240"/>
    <n v="4186"/>
    <n v="3252"/>
    <n v="28694"/>
    <n v="123"/>
    <n v="727"/>
    <n v="40117"/>
    <n v="0"/>
    <n v="879"/>
    <m/>
    <m/>
    <n v="0"/>
    <n v="0"/>
    <m/>
    <m/>
    <m/>
    <m/>
    <m/>
    <m/>
    <m/>
    <m/>
    <m/>
    <m/>
    <m/>
    <m/>
  </r>
  <r>
    <x v="9"/>
    <s v="Central Carolina Commuity College"/>
    <m/>
    <n v="198251"/>
    <x v="7"/>
    <n v="104167"/>
    <n v="96500"/>
    <n v="65438"/>
    <n v="55626"/>
    <n v="10252"/>
    <n v="7243"/>
    <n v="27852"/>
    <n v="0"/>
    <n v="625"/>
    <n v="33631"/>
    <n v="0"/>
    <n v="0"/>
    <m/>
    <m/>
    <n v="0"/>
    <n v="0"/>
    <m/>
    <m/>
    <m/>
    <m/>
    <m/>
    <m/>
    <m/>
    <m/>
    <m/>
    <m/>
    <m/>
    <m/>
  </r>
  <r>
    <x v="9"/>
    <s v="Cleveland Community College"/>
    <m/>
    <n v="198321"/>
    <x v="7"/>
    <n v="93159"/>
    <n v="78197"/>
    <n v="60360"/>
    <n v="41524"/>
    <n v="11099"/>
    <n v="6675"/>
    <n v="21445"/>
    <n v="225"/>
    <n v="30"/>
    <n v="29868"/>
    <n v="130"/>
    <n v="0"/>
    <m/>
    <m/>
    <n v="0"/>
    <n v="0"/>
    <m/>
    <m/>
    <m/>
    <m/>
    <m/>
    <m/>
    <m/>
    <m/>
    <m/>
    <m/>
    <m/>
    <m/>
  </r>
  <r>
    <x v="9"/>
    <s v="Coastal Carolina Community College "/>
    <m/>
    <n v="198330"/>
    <x v="7"/>
    <n v="115927"/>
    <n v="109745"/>
    <n v="80478"/>
    <n v="75833"/>
    <n v="10109"/>
    <n v="8990"/>
    <n v="25340"/>
    <n v="0"/>
    <n v="0"/>
    <n v="24922"/>
    <n v="0"/>
    <n v="0"/>
    <m/>
    <m/>
    <n v="0"/>
    <n v="0"/>
    <m/>
    <m/>
    <m/>
    <m/>
    <m/>
    <m/>
    <m/>
    <m/>
    <m/>
    <m/>
    <m/>
    <m/>
  </r>
  <r>
    <x v="9"/>
    <s v="Craven Community College "/>
    <m/>
    <n v="198367"/>
    <x v="7"/>
    <n v="78830"/>
    <n v="78714"/>
    <n v="51547"/>
    <n v="43141"/>
    <n v="704"/>
    <n v="886"/>
    <n v="25751"/>
    <n v="0"/>
    <n v="828"/>
    <n v="34585"/>
    <n v="0"/>
    <n v="102"/>
    <m/>
    <m/>
    <n v="0"/>
    <n v="0"/>
    <m/>
    <m/>
    <m/>
    <m/>
    <m/>
    <m/>
    <m/>
    <m/>
    <m/>
    <m/>
    <m/>
    <m/>
  </r>
  <r>
    <x v="9"/>
    <s v="Davidson County Community College "/>
    <m/>
    <n v="198376"/>
    <x v="7"/>
    <n v="96011"/>
    <n v="97150"/>
    <n v="72398"/>
    <n v="41428"/>
    <n v="22"/>
    <n v="38"/>
    <n v="22204"/>
    <n v="1387"/>
    <n v="0"/>
    <n v="54518"/>
    <n v="1166"/>
    <n v="0"/>
    <m/>
    <m/>
    <n v="0"/>
    <n v="0"/>
    <m/>
    <m/>
    <m/>
    <m/>
    <m/>
    <m/>
    <m/>
    <m/>
    <m/>
    <m/>
    <m/>
    <m/>
  </r>
  <r>
    <x v="9"/>
    <s v="Durham Technical Community College"/>
    <m/>
    <n v="198455"/>
    <x v="7"/>
    <n v="105294"/>
    <n v="105233"/>
    <n v="88388"/>
    <n v="82479"/>
    <n v="3297"/>
    <n v="2056"/>
    <n v="13609"/>
    <n v="0"/>
    <n v="0"/>
    <n v="20698"/>
    <n v="0"/>
    <n v="0"/>
    <m/>
    <m/>
    <n v="0"/>
    <n v="0"/>
    <m/>
    <m/>
    <m/>
    <m/>
    <m/>
    <m/>
    <m/>
    <m/>
    <m/>
    <m/>
    <m/>
    <m/>
  </r>
  <r>
    <x v="9"/>
    <s v="Edgecombe Community College"/>
    <m/>
    <n v="198491"/>
    <x v="7"/>
    <n v="75491"/>
    <n v="73933"/>
    <n v="52105"/>
    <n v="42766"/>
    <n v="1891"/>
    <n v="1681"/>
    <n v="21495"/>
    <n v="0"/>
    <n v="0"/>
    <n v="29486"/>
    <n v="0"/>
    <n v="0"/>
    <m/>
    <m/>
    <n v="0"/>
    <n v="0"/>
    <m/>
    <m/>
    <m/>
    <m/>
    <m/>
    <m/>
    <m/>
    <m/>
    <m/>
    <m/>
    <m/>
    <m/>
  </r>
  <r>
    <x v="9"/>
    <s v="Haywood Community College"/>
    <s v="Met criteria for Two-Year 3 in 2011-12."/>
    <n v="198668"/>
    <x v="7"/>
    <n v="49510"/>
    <n v="48368"/>
    <n v="29794"/>
    <n v="24779"/>
    <n v="2345"/>
    <n v="2496"/>
    <n v="17263"/>
    <n v="108"/>
    <n v="0"/>
    <n v="21042"/>
    <n v="51"/>
    <n v="0"/>
    <m/>
    <m/>
    <n v="0"/>
    <n v="0"/>
    <m/>
    <m/>
    <m/>
    <m/>
    <m/>
    <m/>
    <m/>
    <m/>
    <m/>
    <m/>
    <m/>
    <m/>
  </r>
  <r>
    <x v="9"/>
    <s v="Isothermal Community College "/>
    <m/>
    <n v="198710"/>
    <x v="7"/>
    <n v="66414"/>
    <n v="60564"/>
    <n v="50927"/>
    <n v="41423"/>
    <n v="3626"/>
    <n v="3570"/>
    <n v="11846"/>
    <n v="15"/>
    <n v="0"/>
    <n v="15571"/>
    <n v="0"/>
    <n v="0"/>
    <m/>
    <m/>
    <n v="0"/>
    <n v="0"/>
    <m/>
    <m/>
    <m/>
    <m/>
    <m/>
    <m/>
    <m/>
    <m/>
    <m/>
    <m/>
    <m/>
    <m/>
  </r>
  <r>
    <x v="9"/>
    <s v="Johnston Community College"/>
    <m/>
    <n v="198774"/>
    <x v="7"/>
    <n v="92041"/>
    <n v="92584"/>
    <n v="61527"/>
    <n v="60532"/>
    <n v="7635"/>
    <n v="2802"/>
    <n v="22423"/>
    <n v="186"/>
    <n v="270"/>
    <n v="28940"/>
    <n v="310"/>
    <n v="0"/>
    <m/>
    <m/>
    <n v="0"/>
    <n v="0"/>
    <m/>
    <m/>
    <m/>
    <m/>
    <m/>
    <m/>
    <m/>
    <m/>
    <m/>
    <m/>
    <m/>
    <m/>
  </r>
  <r>
    <x v="9"/>
    <s v="Lenoir Community College "/>
    <m/>
    <n v="198817"/>
    <x v="7"/>
    <n v="81761"/>
    <n v="77239"/>
    <n v="49592"/>
    <n v="40899"/>
    <n v="3223"/>
    <n v="2317"/>
    <n v="28946"/>
    <n v="0"/>
    <n v="0"/>
    <n v="33999"/>
    <n v="24"/>
    <n v="0"/>
    <m/>
    <m/>
    <n v="0"/>
    <n v="0"/>
    <m/>
    <m/>
    <m/>
    <m/>
    <m/>
    <m/>
    <m/>
    <m/>
    <m/>
    <m/>
    <m/>
    <m/>
  </r>
  <r>
    <x v="9"/>
    <s v="Mitchell Community College "/>
    <m/>
    <n v="198987"/>
    <x v="7"/>
    <n v="76056"/>
    <n v="78564"/>
    <n v="61231"/>
    <n v="50617"/>
    <n v="2971"/>
    <n v="1745"/>
    <n v="11854"/>
    <n v="0"/>
    <n v="0"/>
    <n v="26196"/>
    <n v="6"/>
    <n v="0"/>
    <m/>
    <m/>
    <n v="0"/>
    <n v="0"/>
    <m/>
    <m/>
    <m/>
    <m/>
    <m/>
    <m/>
    <m/>
    <m/>
    <m/>
    <m/>
    <m/>
    <m/>
  </r>
  <r>
    <x v="9"/>
    <s v="Nash Community College"/>
    <m/>
    <n v="199087"/>
    <x v="7"/>
    <n v="61946"/>
    <n v="64698"/>
    <n v="49717"/>
    <n v="47265"/>
    <n v="2690"/>
    <n v="2282"/>
    <n v="9302"/>
    <n v="237"/>
    <n v="0"/>
    <n v="14803"/>
    <n v="330"/>
    <n v="18"/>
    <m/>
    <m/>
    <n v="0"/>
    <n v="0"/>
    <m/>
    <m/>
    <m/>
    <m/>
    <m/>
    <m/>
    <m/>
    <m/>
    <m/>
    <m/>
    <m/>
    <m/>
  </r>
  <r>
    <x v="9"/>
    <s v="Randolph Community College"/>
    <m/>
    <n v="199421"/>
    <x v="7"/>
    <n v="63901"/>
    <n v="63481"/>
    <n v="45587"/>
    <n v="45122"/>
    <n v="3474"/>
    <n v="2078"/>
    <n v="12979"/>
    <n v="1475"/>
    <n v="386"/>
    <n v="15402"/>
    <n v="573"/>
    <n v="306"/>
    <m/>
    <m/>
    <n v="0"/>
    <n v="0"/>
    <m/>
    <m/>
    <m/>
    <m/>
    <m/>
    <m/>
    <m/>
    <m/>
    <m/>
    <m/>
    <m/>
    <m/>
  </r>
  <r>
    <x v="9"/>
    <s v="Robeson Community College"/>
    <m/>
    <n v="199476"/>
    <x v="7"/>
    <n v="62535"/>
    <n v="63554"/>
    <n v="49529"/>
    <n v="50254"/>
    <n v="2788"/>
    <n v="1384"/>
    <n v="10218"/>
    <n v="0"/>
    <n v="0"/>
    <n v="11907"/>
    <n v="9"/>
    <n v="0"/>
    <m/>
    <m/>
    <n v="0"/>
    <n v="0"/>
    <m/>
    <m/>
    <m/>
    <m/>
    <m/>
    <m/>
    <m/>
    <m/>
    <m/>
    <m/>
    <m/>
    <m/>
  </r>
  <r>
    <x v="9"/>
    <s v="Sandhills Community College "/>
    <m/>
    <n v="199634"/>
    <x v="7"/>
    <n v="89719"/>
    <n v="91407"/>
    <n v="69781"/>
    <n v="56430"/>
    <n v="1517"/>
    <n v="1453"/>
    <n v="18421"/>
    <n v="0"/>
    <n v="0"/>
    <n v="33470"/>
    <n v="0"/>
    <n v="54"/>
    <m/>
    <m/>
    <n v="0"/>
    <n v="0"/>
    <m/>
    <m/>
    <m/>
    <m/>
    <m/>
    <m/>
    <m/>
    <m/>
    <m/>
    <m/>
    <m/>
    <m/>
  </r>
  <r>
    <x v="9"/>
    <s v="Stanly Community College"/>
    <m/>
    <n v="199740"/>
    <x v="7"/>
    <n v="69443"/>
    <n v="69019"/>
    <n v="30382"/>
    <n v="24510"/>
    <n v="3903"/>
    <n v="2011"/>
    <n v="32392"/>
    <n v="2766"/>
    <n v="0"/>
    <n v="40861"/>
    <n v="1637"/>
    <n v="0"/>
    <m/>
    <m/>
    <n v="0"/>
    <n v="0"/>
    <m/>
    <m/>
    <m/>
    <m/>
    <m/>
    <m/>
    <m/>
    <m/>
    <m/>
    <m/>
    <m/>
    <m/>
  </r>
  <r>
    <x v="9"/>
    <s v="Surry Community College "/>
    <m/>
    <n v="199768"/>
    <x v="7"/>
    <n v="76882"/>
    <n v="74394"/>
    <n v="58143"/>
    <n v="51507"/>
    <n v="150"/>
    <n v="543"/>
    <n v="17523"/>
    <n v="1066"/>
    <n v="0"/>
    <n v="21022"/>
    <n v="1322"/>
    <n v="0"/>
    <m/>
    <m/>
    <n v="0"/>
    <n v="0"/>
    <m/>
    <m/>
    <m/>
    <m/>
    <m/>
    <m/>
    <m/>
    <m/>
    <m/>
    <m/>
    <m/>
    <m/>
  </r>
  <r>
    <x v="9"/>
    <s v="Vance-Granville Community College "/>
    <m/>
    <n v="199838"/>
    <x v="7"/>
    <n v="87227"/>
    <n v="83738"/>
    <n v="59223"/>
    <n v="52336"/>
    <n v="6129"/>
    <n v="2082"/>
    <n v="20533"/>
    <n v="1342"/>
    <n v="0"/>
    <n v="27490"/>
    <n v="1830"/>
    <n v="0"/>
    <m/>
    <m/>
    <n v="0"/>
    <n v="0"/>
    <m/>
    <m/>
    <m/>
    <m/>
    <m/>
    <m/>
    <m/>
    <m/>
    <m/>
    <m/>
    <m/>
    <m/>
  </r>
  <r>
    <x v="9"/>
    <s v="Wayne Community College"/>
    <m/>
    <n v="199892"/>
    <x v="7"/>
    <n v="83747"/>
    <n v="84341"/>
    <n v="58184"/>
    <n v="44373"/>
    <n v="3936"/>
    <n v="3198"/>
    <n v="21492"/>
    <n v="0"/>
    <n v="135"/>
    <n v="36605"/>
    <n v="0"/>
    <n v="165"/>
    <m/>
    <m/>
    <n v="0"/>
    <n v="0"/>
    <m/>
    <m/>
    <m/>
    <m/>
    <m/>
    <m/>
    <m/>
    <m/>
    <m/>
    <m/>
    <m/>
    <m/>
  </r>
  <r>
    <x v="9"/>
    <s v="Western Piedmont Community College "/>
    <m/>
    <n v="199908"/>
    <x v="7"/>
    <n v="81492"/>
    <n v="76240"/>
    <n v="59509"/>
    <n v="45622"/>
    <n v="2812"/>
    <n v="424"/>
    <n v="19171"/>
    <n v="0"/>
    <n v="0"/>
    <n v="30194"/>
    <n v="0"/>
    <n v="0"/>
    <m/>
    <m/>
    <n v="0"/>
    <n v="0"/>
    <m/>
    <m/>
    <m/>
    <m/>
    <m/>
    <m/>
    <m/>
    <m/>
    <m/>
    <m/>
    <m/>
    <m/>
  </r>
  <r>
    <x v="9"/>
    <s v="Wilkes Community College "/>
    <m/>
    <n v="199926"/>
    <x v="7"/>
    <n v="65818"/>
    <n v="62280"/>
    <n v="52622"/>
    <n v="44679"/>
    <n v="644"/>
    <n v="731"/>
    <n v="8618"/>
    <n v="3934"/>
    <n v="0"/>
    <n v="14409"/>
    <n v="2461"/>
    <n v="0"/>
    <m/>
    <m/>
    <n v="0"/>
    <n v="0"/>
    <m/>
    <m/>
    <m/>
    <m/>
    <m/>
    <m/>
    <m/>
    <m/>
    <m/>
    <m/>
    <m/>
    <m/>
  </r>
  <r>
    <x v="9"/>
    <s v="Beaufort County Community College "/>
    <m/>
    <n v="197966"/>
    <x v="8"/>
    <n v="40002"/>
    <n v="40315"/>
    <n v="30884"/>
    <n v="23585"/>
    <n v="1987"/>
    <n v="1153"/>
    <n v="6788"/>
    <n v="0"/>
    <n v="343"/>
    <n v="15081"/>
    <n v="0"/>
    <n v="496"/>
    <m/>
    <m/>
    <n v="0"/>
    <n v="0"/>
    <m/>
    <m/>
    <m/>
    <m/>
    <m/>
    <m/>
    <m/>
    <m/>
    <m/>
    <m/>
    <m/>
    <m/>
  </r>
  <r>
    <x v="9"/>
    <s v="Bladen Community College"/>
    <m/>
    <n v="198011"/>
    <x v="8"/>
    <n v="42382"/>
    <n v="38059"/>
    <n v="24167"/>
    <n v="20151"/>
    <n v="511"/>
    <n v="149"/>
    <n v="12674"/>
    <n v="2495"/>
    <n v="2535"/>
    <n v="13465"/>
    <n v="2174"/>
    <n v="2120"/>
    <m/>
    <m/>
    <n v="0"/>
    <n v="0"/>
    <m/>
    <m/>
    <m/>
    <m/>
    <m/>
    <m/>
    <m/>
    <m/>
    <m/>
    <m/>
    <m/>
    <m/>
  </r>
  <r>
    <x v="9"/>
    <s v="Blue Ridge Community College"/>
    <m/>
    <n v="198039"/>
    <x v="8"/>
    <n v="50471"/>
    <n v="49694"/>
    <n v="39555"/>
    <n v="32692"/>
    <n v="1239"/>
    <n v="1120"/>
    <n v="7826"/>
    <n v="173"/>
    <n v="1678"/>
    <n v="15655"/>
    <n v="173"/>
    <n v="54"/>
    <m/>
    <m/>
    <n v="0"/>
    <n v="0"/>
    <m/>
    <m/>
    <m/>
    <m/>
    <m/>
    <m/>
    <m/>
    <m/>
    <m/>
    <m/>
    <m/>
    <m/>
  </r>
  <r>
    <x v="9"/>
    <s v="Brunswick Community College"/>
    <m/>
    <n v="198084"/>
    <x v="8"/>
    <n v="30834"/>
    <n v="33061"/>
    <n v="24442"/>
    <n v="21365"/>
    <n v="108"/>
    <n v="159"/>
    <n v="6131"/>
    <n v="153"/>
    <n v="0"/>
    <n v="11389"/>
    <n v="148"/>
    <n v="0"/>
    <m/>
    <m/>
    <n v="0"/>
    <n v="0"/>
    <m/>
    <m/>
    <m/>
    <m/>
    <m/>
    <m/>
    <m/>
    <m/>
    <m/>
    <m/>
    <m/>
    <m/>
  </r>
  <r>
    <x v="9"/>
    <s v="Carteret Community College"/>
    <m/>
    <n v="198206"/>
    <x v="8"/>
    <n v="39825"/>
    <n v="39517"/>
    <n v="28394"/>
    <n v="22831"/>
    <n v="1273"/>
    <n v="1432"/>
    <n v="10158"/>
    <n v="0"/>
    <n v="0"/>
    <n v="15254"/>
    <n v="0"/>
    <n v="0"/>
    <m/>
    <m/>
    <n v="0"/>
    <n v="0"/>
    <m/>
    <m/>
    <m/>
    <m/>
    <m/>
    <m/>
    <m/>
    <m/>
    <m/>
    <m/>
    <m/>
    <m/>
  </r>
  <r>
    <x v="9"/>
    <s v="College of the Albemarle"/>
    <m/>
    <n v="197814"/>
    <x v="8"/>
    <n v="53862"/>
    <n v="56421"/>
    <n v="32302"/>
    <n v="31812"/>
    <n v="3647"/>
    <n v="1254"/>
    <n v="17862"/>
    <n v="51"/>
    <n v="0"/>
    <n v="23295"/>
    <n v="60"/>
    <n v="0"/>
    <m/>
    <m/>
    <n v="0"/>
    <n v="0"/>
    <m/>
    <m/>
    <m/>
    <m/>
    <m/>
    <m/>
    <m/>
    <m/>
    <m/>
    <m/>
    <m/>
    <m/>
  </r>
  <r>
    <x v="9"/>
    <s v="Halifax Community College "/>
    <m/>
    <n v="198640"/>
    <x v="8"/>
    <n v="40188"/>
    <n v="37285"/>
    <n v="28115"/>
    <n v="22449"/>
    <n v="3750"/>
    <n v="1957"/>
    <n v="7897"/>
    <n v="426"/>
    <n v="0"/>
    <n v="12696"/>
    <n v="183"/>
    <n v="0"/>
    <m/>
    <m/>
    <n v="0"/>
    <n v="0"/>
    <m/>
    <m/>
    <m/>
    <m/>
    <m/>
    <m/>
    <m/>
    <m/>
    <m/>
    <m/>
    <m/>
    <m/>
  </r>
  <r>
    <x v="9"/>
    <s v="James Sprunt Community College"/>
    <m/>
    <n v="198729"/>
    <x v="8"/>
    <n v="32854"/>
    <n v="32371"/>
    <n v="23526"/>
    <n v="21547"/>
    <n v="2277"/>
    <n v="1337"/>
    <n v="6502"/>
    <n v="549"/>
    <n v="0"/>
    <n v="8671"/>
    <n v="816"/>
    <n v="0"/>
    <m/>
    <m/>
    <n v="0"/>
    <n v="0"/>
    <m/>
    <m/>
    <m/>
    <m/>
    <m/>
    <m/>
    <m/>
    <m/>
    <m/>
    <m/>
    <m/>
    <m/>
  </r>
  <r>
    <x v="9"/>
    <s v="Martin Community College "/>
    <m/>
    <n v="198905"/>
    <x v="8"/>
    <n v="16268"/>
    <n v="17085"/>
    <n v="12016"/>
    <n v="7935"/>
    <n v="725"/>
    <n v="550"/>
    <n v="3395"/>
    <n v="132"/>
    <n v="0"/>
    <n v="8435"/>
    <n v="165"/>
    <n v="0"/>
    <m/>
    <m/>
    <n v="0"/>
    <n v="0"/>
    <m/>
    <m/>
    <m/>
    <m/>
    <m/>
    <m/>
    <m/>
    <m/>
    <m/>
    <m/>
    <m/>
    <m/>
  </r>
  <r>
    <x v="9"/>
    <s v="Mayland Community College"/>
    <m/>
    <n v="198914"/>
    <x v="8"/>
    <n v="28835"/>
    <n v="21968"/>
    <n v="17890"/>
    <n v="14707"/>
    <n v="7548"/>
    <n v="3645"/>
    <n v="3234"/>
    <n v="163"/>
    <n v="0"/>
    <n v="3616"/>
    <n v="0"/>
    <n v="0"/>
    <m/>
    <m/>
    <n v="0"/>
    <n v="0"/>
    <m/>
    <m/>
    <m/>
    <m/>
    <m/>
    <m/>
    <m/>
    <m/>
    <m/>
    <m/>
    <m/>
    <m/>
  </r>
  <r>
    <x v="9"/>
    <s v="McDowell Technical Community College"/>
    <m/>
    <n v="198923"/>
    <x v="8"/>
    <n v="36927"/>
    <n v="30880"/>
    <n v="31461"/>
    <n v="23708"/>
    <n v="1841"/>
    <n v="979"/>
    <n v="3262"/>
    <n v="105"/>
    <n v="258"/>
    <n v="6019"/>
    <n v="117"/>
    <n v="57"/>
    <m/>
    <m/>
    <n v="0"/>
    <n v="0"/>
    <m/>
    <m/>
    <m/>
    <m/>
    <m/>
    <m/>
    <m/>
    <m/>
    <m/>
    <m/>
    <m/>
    <m/>
  </r>
  <r>
    <x v="9"/>
    <s v="Montgomery Community College"/>
    <m/>
    <n v="199023"/>
    <x v="8"/>
    <n v="19795"/>
    <n v="18505"/>
    <n v="12895"/>
    <n v="10507"/>
    <n v="1514"/>
    <n v="779"/>
    <n v="5053"/>
    <n v="333"/>
    <n v="0"/>
    <n v="7138"/>
    <n v="81"/>
    <n v="0"/>
    <m/>
    <m/>
    <n v="0"/>
    <n v="0"/>
    <m/>
    <m/>
    <m/>
    <m/>
    <m/>
    <m/>
    <m/>
    <m/>
    <m/>
    <m/>
    <m/>
    <m/>
  </r>
  <r>
    <x v="9"/>
    <s v="Pamlico Community College"/>
    <m/>
    <n v="199263"/>
    <x v="8"/>
    <n v="12703"/>
    <n v="11223"/>
    <n v="4921"/>
    <n v="3768"/>
    <n v="2957"/>
    <n v="1639"/>
    <n v="4780"/>
    <n v="33"/>
    <n v="12"/>
    <n v="5771"/>
    <n v="45"/>
    <n v="0"/>
    <m/>
    <m/>
    <n v="0"/>
    <n v="0"/>
    <m/>
    <m/>
    <m/>
    <m/>
    <m/>
    <m/>
    <m/>
    <m/>
    <m/>
    <m/>
    <m/>
    <m/>
  </r>
  <r>
    <x v="9"/>
    <s v="Piedmont Community College"/>
    <m/>
    <n v="199324"/>
    <x v="8"/>
    <n v="55522"/>
    <n v="45986"/>
    <n v="35368"/>
    <n v="26779"/>
    <n v="4487"/>
    <n v="1536"/>
    <n v="12729"/>
    <n v="2908"/>
    <n v="30"/>
    <n v="14677"/>
    <n v="2994"/>
    <n v="0"/>
    <m/>
    <m/>
    <n v="0"/>
    <n v="0"/>
    <m/>
    <m/>
    <m/>
    <m/>
    <m/>
    <m/>
    <m/>
    <m/>
    <m/>
    <m/>
    <m/>
    <m/>
  </r>
  <r>
    <x v="9"/>
    <s v="Richmond Community College"/>
    <m/>
    <n v="199449"/>
    <x v="8"/>
    <n v="40043"/>
    <n v="51284"/>
    <n v="34416"/>
    <n v="37511"/>
    <n v="527"/>
    <n v="1340"/>
    <n v="5049"/>
    <n v="51"/>
    <n v="0"/>
    <n v="12433"/>
    <n v="0"/>
    <n v="0"/>
    <m/>
    <m/>
    <n v="0"/>
    <n v="0"/>
    <m/>
    <m/>
    <m/>
    <m/>
    <m/>
    <m/>
    <m/>
    <m/>
    <m/>
    <m/>
    <m/>
    <m/>
  </r>
  <r>
    <x v="9"/>
    <s v="Roanoke-Chowan Community College"/>
    <m/>
    <n v="199467"/>
    <x v="8"/>
    <n v="17878"/>
    <n v="18730"/>
    <n v="12966"/>
    <n v="12581"/>
    <n v="1544"/>
    <n v="715"/>
    <n v="3290"/>
    <n v="78"/>
    <n v="0"/>
    <n v="5344"/>
    <n v="90"/>
    <n v="0"/>
    <m/>
    <m/>
    <n v="0"/>
    <n v="0"/>
    <m/>
    <m/>
    <m/>
    <m/>
    <m/>
    <m/>
    <m/>
    <m/>
    <m/>
    <m/>
    <m/>
    <m/>
  </r>
  <r>
    <x v="9"/>
    <s v="Rockingham Community College "/>
    <m/>
    <n v="199485"/>
    <x v="8"/>
    <n v="53407"/>
    <n v="51175"/>
    <n v="48837"/>
    <n v="40964"/>
    <n v="0"/>
    <n v="0"/>
    <n v="4441"/>
    <n v="60"/>
    <n v="69"/>
    <n v="10052"/>
    <n v="111"/>
    <n v="48"/>
    <m/>
    <m/>
    <n v="0"/>
    <n v="0"/>
    <m/>
    <m/>
    <m/>
    <m/>
    <m/>
    <m/>
    <m/>
    <m/>
    <m/>
    <m/>
    <m/>
    <m/>
  </r>
  <r>
    <x v="9"/>
    <s v="Sampson Community College"/>
    <m/>
    <n v="199625"/>
    <x v="8"/>
    <n v="33561"/>
    <n v="32146"/>
    <n v="29268"/>
    <n v="25333"/>
    <n v="599"/>
    <n v="433"/>
    <n v="3043"/>
    <n v="651"/>
    <n v="0"/>
    <n v="5673"/>
    <n v="707"/>
    <n v="0"/>
    <m/>
    <m/>
    <n v="0"/>
    <n v="0"/>
    <m/>
    <m/>
    <m/>
    <m/>
    <m/>
    <m/>
    <m/>
    <m/>
    <m/>
    <m/>
    <m/>
    <m/>
  </r>
  <r>
    <x v="9"/>
    <s v="South Piedmont Community College"/>
    <m/>
    <n v="197850"/>
    <x v="8"/>
    <n v="53273"/>
    <n v="48972"/>
    <n v="31275"/>
    <n v="25398"/>
    <n v="2967"/>
    <n v="1999"/>
    <n v="18532"/>
    <n v="499"/>
    <n v="0"/>
    <n v="21224"/>
    <n v="351"/>
    <n v="0"/>
    <m/>
    <m/>
    <n v="0"/>
    <n v="0"/>
    <m/>
    <m/>
    <m/>
    <m/>
    <m/>
    <m/>
    <m/>
    <m/>
    <m/>
    <m/>
    <m/>
    <m/>
  </r>
  <r>
    <x v="9"/>
    <s v="Southeastern Community College "/>
    <m/>
    <n v="199722"/>
    <x v="8"/>
    <n v="49508"/>
    <n v="46421"/>
    <n v="31608"/>
    <n v="29510"/>
    <n v="720"/>
    <n v="763"/>
    <n v="16788"/>
    <n v="392"/>
    <n v="0"/>
    <n v="15806"/>
    <n v="342"/>
    <n v="0"/>
    <m/>
    <m/>
    <n v="0"/>
    <n v="0"/>
    <m/>
    <m/>
    <m/>
    <m/>
    <m/>
    <m/>
    <m/>
    <m/>
    <m/>
    <m/>
    <m/>
    <m/>
  </r>
  <r>
    <x v="9"/>
    <s v="Southwestern Community College "/>
    <m/>
    <n v="199731"/>
    <x v="8"/>
    <n v="55269"/>
    <n v="54032"/>
    <n v="35483"/>
    <n v="27254"/>
    <n v="3177"/>
    <n v="2940"/>
    <n v="14435"/>
    <n v="2174"/>
    <n v="0"/>
    <n v="21948"/>
    <n v="1890"/>
    <n v="0"/>
    <m/>
    <m/>
    <n v="0"/>
    <n v="0"/>
    <m/>
    <m/>
    <m/>
    <m/>
    <m/>
    <m/>
    <m/>
    <m/>
    <m/>
    <m/>
    <m/>
    <m/>
  </r>
  <r>
    <x v="9"/>
    <s v="Tri-County Community College "/>
    <m/>
    <n v="199795"/>
    <x v="8"/>
    <n v="29859"/>
    <n v="29974"/>
    <n v="18499"/>
    <n v="13360"/>
    <n v="1081"/>
    <n v="755"/>
    <n v="9760"/>
    <n v="519"/>
    <n v="0"/>
    <n v="15287"/>
    <n v="572"/>
    <n v="0"/>
    <m/>
    <m/>
    <n v="0"/>
    <n v="0"/>
    <m/>
    <m/>
    <m/>
    <m/>
    <m/>
    <m/>
    <m/>
    <m/>
    <m/>
    <m/>
    <m/>
    <m/>
  </r>
  <r>
    <x v="9"/>
    <s v="Wilson Community College"/>
    <m/>
    <n v="199953"/>
    <x v="8"/>
    <n v="51984"/>
    <n v="47421"/>
    <n v="33436"/>
    <n v="22913"/>
    <n v="1400"/>
    <n v="705"/>
    <n v="14148"/>
    <n v="0"/>
    <n v="3000"/>
    <n v="20949"/>
    <n v="0"/>
    <n v="2854"/>
    <m/>
    <m/>
    <n v="0"/>
    <n v="0"/>
    <m/>
    <m/>
    <m/>
    <m/>
    <m/>
    <m/>
    <m/>
    <m/>
    <m/>
    <m/>
    <m/>
    <m/>
  </r>
  <r>
    <x v="10"/>
    <s v="University of Oklahoma Norman Campus"/>
    <m/>
    <n v="207500"/>
    <x v="0"/>
    <n v="527383"/>
    <n v="542963"/>
    <n v="473507"/>
    <n v="474471"/>
    <n v="2987"/>
    <n v="6059"/>
    <n v="50077"/>
    <n v="156"/>
    <n v="656"/>
    <n v="60898"/>
    <n v="316"/>
    <n v="656"/>
    <m/>
    <n v="563"/>
    <n v="92405"/>
    <n v="94236"/>
    <n v="68036"/>
    <n v="57912"/>
    <n v="12572"/>
    <n v="19766"/>
    <n v="10279"/>
    <n v="225"/>
    <n v="1276"/>
    <n v="13679"/>
    <n v="570"/>
    <n v="2309"/>
    <n v="17"/>
    <m/>
  </r>
  <r>
    <x v="10"/>
    <s v="Northeastern State University"/>
    <m/>
    <n v="207263"/>
    <x v="2"/>
    <n v="209439"/>
    <n v="207096"/>
    <n v="179652"/>
    <n v="172794"/>
    <m/>
    <m/>
    <n v="28881"/>
    <n v="906"/>
    <m/>
    <n v="33255"/>
    <n v="1047"/>
    <m/>
    <m/>
    <m/>
    <n v="20480"/>
    <n v="20260"/>
    <n v="18998"/>
    <n v="18033"/>
    <m/>
    <m/>
    <n v="914"/>
    <n v="568"/>
    <m/>
    <n v="1831"/>
    <n v="396"/>
    <m/>
    <m/>
    <m/>
  </r>
  <r>
    <x v="10"/>
    <s v="University of Central Oklahoma"/>
    <m/>
    <n v="206941"/>
    <x v="2"/>
    <n v="361155"/>
    <n v="373521"/>
    <n v="342653"/>
    <n v="336270"/>
    <n v="1931"/>
    <n v="4355"/>
    <n v="14554"/>
    <n v="219"/>
    <n v="1798"/>
    <n v="29082"/>
    <n v="150"/>
    <n v="3664"/>
    <m/>
    <m/>
    <n v="27571"/>
    <n v="28239"/>
    <n v="23434"/>
    <n v="24735"/>
    <n v="1942"/>
    <n v="71"/>
    <n v="1002"/>
    <n v="104"/>
    <n v="1089"/>
    <n v="1391"/>
    <n v="90"/>
    <n v="1952"/>
    <m/>
    <m/>
  </r>
  <r>
    <x v="10"/>
    <s v="Cameron University "/>
    <m/>
    <n v="206914"/>
    <x v="4"/>
    <n v="138667"/>
    <n v="139044"/>
    <n v="110587"/>
    <n v="107420"/>
    <n v="1603"/>
    <n v="2911"/>
    <n v="17009"/>
    <n v="9468"/>
    <m/>
    <n v="19017"/>
    <n v="9696"/>
    <m/>
    <m/>
    <m/>
    <n v="6920"/>
    <n v="7449"/>
    <n v="3224"/>
    <n v="3567"/>
    <m/>
    <m/>
    <n v="2406"/>
    <n v="1290"/>
    <m/>
    <n v="2508"/>
    <n v="1374"/>
    <m/>
    <m/>
    <m/>
  </r>
  <r>
    <x v="10"/>
    <s v="East Central University "/>
    <m/>
    <n v="207041"/>
    <x v="4"/>
    <n v="106266"/>
    <n v="106761"/>
    <n v="89628"/>
    <n v="89844"/>
    <n v="71"/>
    <n v="426"/>
    <n v="7854"/>
    <n v="3563"/>
    <n v="5150"/>
    <n v="8521"/>
    <n v="3560"/>
    <n v="4410"/>
    <m/>
    <m/>
    <n v="15849"/>
    <n v="15756"/>
    <n v="5596"/>
    <n v="5779"/>
    <n v="504"/>
    <n v="462"/>
    <n v="7742"/>
    <n v="1410"/>
    <n v="597"/>
    <n v="7160"/>
    <n v="1641"/>
    <n v="714"/>
    <m/>
    <m/>
  </r>
  <r>
    <x v="10"/>
    <s v="Langston University"/>
    <m/>
    <n v="207209"/>
    <x v="4"/>
    <n v="62125"/>
    <n v="62132"/>
    <n v="61293"/>
    <n v="61185"/>
    <m/>
    <n v="162"/>
    <n v="322"/>
    <n v="510"/>
    <m/>
    <n v="520"/>
    <n v="265"/>
    <m/>
    <m/>
    <m/>
    <n v="8632"/>
    <n v="9995"/>
    <n v="7696"/>
    <n v="9032"/>
    <m/>
    <m/>
    <n v="786"/>
    <n v="150"/>
    <m/>
    <n v="882"/>
    <n v="81"/>
    <m/>
    <m/>
    <m/>
  </r>
  <r>
    <x v="10"/>
    <s v="Northwestern Oklahoma State University "/>
    <m/>
    <n v="207306"/>
    <x v="4"/>
    <n v="53520"/>
    <n v="52469"/>
    <n v="38882"/>
    <n v="39001"/>
    <n v="162"/>
    <n v="138"/>
    <n v="4947"/>
    <n v="9124"/>
    <n v="405"/>
    <n v="5053"/>
    <n v="8277"/>
    <m/>
    <m/>
    <m/>
    <n v="2648"/>
    <n v="2309"/>
    <n v="1443"/>
    <n v="1303"/>
    <n v="5"/>
    <n v="2"/>
    <n v="204"/>
    <n v="996"/>
    <m/>
    <n v="206"/>
    <n v="798"/>
    <m/>
    <m/>
    <m/>
  </r>
  <r>
    <x v="10"/>
    <s v="Southeastern Oklahoma State University "/>
    <s v="Met the criteria for Four-Year 4 in 2010-11 and 2011-12."/>
    <n v="207847"/>
    <x v="4"/>
    <n v="99728"/>
    <n v="97592"/>
    <n v="71663"/>
    <n v="67649"/>
    <n v="792"/>
    <m/>
    <n v="22514"/>
    <n v="1831"/>
    <n v="2928"/>
    <n v="24179"/>
    <n v="5764"/>
    <m/>
    <m/>
    <m/>
    <n v="5841"/>
    <n v="6177"/>
    <n v="3549"/>
    <n v="4550"/>
    <n v="219"/>
    <m/>
    <n v="1452"/>
    <n v="285"/>
    <n v="336"/>
    <n v="1390"/>
    <n v="237"/>
    <m/>
    <m/>
    <m/>
  </r>
  <r>
    <x v="10"/>
    <s v="Southwestern Oklahoma State University"/>
    <m/>
    <n v="207865"/>
    <x v="4"/>
    <n v="124302"/>
    <n v="124777"/>
    <n v="112608"/>
    <n v="110061"/>
    <n v="1283"/>
    <n v="1566"/>
    <n v="7054"/>
    <n v="1788"/>
    <n v="1569"/>
    <n v="10192"/>
    <n v="1707"/>
    <n v="1251"/>
    <m/>
    <m/>
    <n v="13777"/>
    <n v="14178"/>
    <n v="8852"/>
    <n v="8985"/>
    <m/>
    <n v="10"/>
    <n v="1415"/>
    <n v="3510"/>
    <m/>
    <n v="1292"/>
    <n v="3891"/>
    <m/>
    <m/>
    <m/>
  </r>
  <r>
    <x v="10"/>
    <s v="Oklahoma Panhandle State University "/>
    <m/>
    <n v="207351"/>
    <x v="5"/>
    <n v="37412"/>
    <n v="39218"/>
    <n v="31053"/>
    <n v="34003"/>
    <m/>
    <m/>
    <n v="6131"/>
    <n v="228"/>
    <m/>
    <n v="5050"/>
    <n v="165"/>
    <m/>
    <m/>
    <m/>
    <n v="0"/>
    <n v="0"/>
    <m/>
    <m/>
    <m/>
    <m/>
    <m/>
    <m/>
    <m/>
    <m/>
    <m/>
    <m/>
    <m/>
    <m/>
  </r>
  <r>
    <x v="10"/>
    <s v="Rogers State University"/>
    <m/>
    <n v="207661"/>
    <x v="5"/>
    <n v="100335"/>
    <n v="104846"/>
    <n v="68677"/>
    <n v="72813"/>
    <n v="2541"/>
    <n v="2951"/>
    <n v="26138"/>
    <n v="2979"/>
    <m/>
    <n v="26519"/>
    <n v="2563"/>
    <m/>
    <m/>
    <m/>
    <n v="0"/>
    <n v="0"/>
    <m/>
    <m/>
    <m/>
    <m/>
    <m/>
    <m/>
    <m/>
    <m/>
    <m/>
    <m/>
    <m/>
    <m/>
  </r>
  <r>
    <x v="10"/>
    <s v="University of Science and Arts of Oklahoma"/>
    <m/>
    <n v="207722"/>
    <x v="5"/>
    <n v="31198"/>
    <n v="30810"/>
    <n v="31086"/>
    <n v="30690"/>
    <n v="112"/>
    <n v="120"/>
    <m/>
    <m/>
    <m/>
    <m/>
    <m/>
    <m/>
    <m/>
    <m/>
    <n v="0"/>
    <n v="0"/>
    <m/>
    <m/>
    <m/>
    <m/>
    <m/>
    <m/>
    <m/>
    <m/>
    <m/>
    <m/>
    <m/>
    <m/>
  </r>
  <r>
    <x v="10"/>
    <s v="Oklahoma State University Technical Branch-Okmulgee "/>
    <m/>
    <n v="207564"/>
    <x v="11"/>
    <n v="96782"/>
    <n v="95815"/>
    <n v="78449"/>
    <n v="75353"/>
    <n v="12372"/>
    <n v="10254"/>
    <n v="5961"/>
    <m/>
    <m/>
    <n v="10208"/>
    <m/>
    <m/>
    <m/>
    <m/>
    <n v="0"/>
    <n v="0"/>
    <m/>
    <m/>
    <m/>
    <m/>
    <m/>
    <m/>
    <m/>
    <m/>
    <m/>
    <m/>
    <m/>
    <m/>
  </r>
  <r>
    <x v="10"/>
    <s v="Oklahoma State University-Oklahoma City "/>
    <s v="Reclassified: Met criteria for Two-Year with Bachelor's in 2009-10, 2010-11, and 2011-12."/>
    <n v="207397"/>
    <x v="11"/>
    <n v="159604"/>
    <n v="169257"/>
    <n v="108255"/>
    <n v="111532"/>
    <n v="1945"/>
    <n v="5012"/>
    <n v="43192"/>
    <n v="3256"/>
    <n v="2956"/>
    <n v="47470"/>
    <n v="5170"/>
    <m/>
    <m/>
    <n v="73"/>
    <n v="0"/>
    <n v="0"/>
    <m/>
    <m/>
    <m/>
    <m/>
    <m/>
    <m/>
    <m/>
    <m/>
    <m/>
    <m/>
    <m/>
    <m/>
  </r>
  <r>
    <x v="10"/>
    <s v="Oklahoma City Community College "/>
    <m/>
    <n v="207449"/>
    <x v="6"/>
    <n v="291030"/>
    <n v="323628"/>
    <n v="213599"/>
    <n v="189505"/>
    <n v="19210"/>
    <n v="20424"/>
    <n v="42507"/>
    <m/>
    <n v="96"/>
    <n v="52316"/>
    <m/>
    <n v="60962"/>
    <n v="15618"/>
    <n v="421"/>
    <n v="0"/>
    <n v="0"/>
    <m/>
    <m/>
    <m/>
    <m/>
    <m/>
    <m/>
    <m/>
    <m/>
    <m/>
    <m/>
    <m/>
    <m/>
  </r>
  <r>
    <x v="10"/>
    <s v="Rose State College "/>
    <s v="Reclassified: Met the criteria for Two-Year 1 institution in 2009-10, 2010-11, and 2011-12."/>
    <n v="207670"/>
    <x v="6"/>
    <n v="167587"/>
    <n v="162006"/>
    <n v="124708"/>
    <n v="121773"/>
    <n v="9862"/>
    <n v="5722"/>
    <n v="29544"/>
    <n v="404"/>
    <n v="3069"/>
    <n v="31677"/>
    <n v="169"/>
    <n v="2665"/>
    <m/>
    <m/>
    <n v="0"/>
    <n v="0"/>
    <m/>
    <m/>
    <m/>
    <m/>
    <m/>
    <m/>
    <m/>
    <m/>
    <m/>
    <m/>
    <m/>
    <m/>
  </r>
  <r>
    <x v="10"/>
    <s v="Tulsa Community College "/>
    <m/>
    <n v="207935"/>
    <x v="6"/>
    <n v="355979"/>
    <n v="397010"/>
    <n v="275136"/>
    <n v="290409"/>
    <n v="11756"/>
    <n v="18548"/>
    <n v="69087"/>
    <m/>
    <m/>
    <n v="88053"/>
    <m/>
    <m/>
    <m/>
    <m/>
    <n v="0"/>
    <n v="0"/>
    <m/>
    <m/>
    <m/>
    <m/>
    <m/>
    <m/>
    <m/>
    <m/>
    <m/>
    <m/>
    <m/>
    <m/>
  </r>
  <r>
    <x v="10"/>
    <s v="Northern Oklahoma College "/>
    <m/>
    <n v="207281"/>
    <x v="7"/>
    <n v="112504"/>
    <n v="120330"/>
    <n v="78870"/>
    <n v="82422"/>
    <n v="9044"/>
    <n v="9788"/>
    <n v="8935"/>
    <n v="15208"/>
    <n v="363"/>
    <n v="12089"/>
    <n v="15674"/>
    <n v="357"/>
    <n v="84"/>
    <m/>
    <n v="0"/>
    <n v="0"/>
    <m/>
    <m/>
    <m/>
    <m/>
    <m/>
    <m/>
    <m/>
    <m/>
    <m/>
    <m/>
    <m/>
    <m/>
  </r>
  <r>
    <x v="10"/>
    <s v="Carl Albert State College"/>
    <s v="Met the criteria for Two-Year 2 institution in 2010-11 and 2011-12."/>
    <n v="206923"/>
    <x v="8"/>
    <n v="65407"/>
    <n v="63341"/>
    <n v="25901"/>
    <n v="23647"/>
    <n v="31"/>
    <m/>
    <n v="14695"/>
    <n v="423"/>
    <n v="24357"/>
    <n v="14516"/>
    <n v="177"/>
    <n v="25001"/>
    <m/>
    <m/>
    <n v="0"/>
    <n v="0"/>
    <m/>
    <m/>
    <m/>
    <m/>
    <m/>
    <m/>
    <m/>
    <m/>
    <m/>
    <m/>
    <m/>
    <m/>
  </r>
  <r>
    <x v="10"/>
    <s v="Connors State College "/>
    <m/>
    <n v="206996"/>
    <x v="8"/>
    <n v="57524"/>
    <n v="58495"/>
    <n v="38883"/>
    <n v="37804"/>
    <n v="8563"/>
    <n v="9473"/>
    <n v="4308"/>
    <n v="5770"/>
    <m/>
    <n v="4895"/>
    <n v="6323"/>
    <m/>
    <m/>
    <m/>
    <n v="0"/>
    <n v="0"/>
    <m/>
    <m/>
    <m/>
    <m/>
    <m/>
    <m/>
    <m/>
    <m/>
    <m/>
    <m/>
    <m/>
    <m/>
  </r>
  <r>
    <x v="10"/>
    <s v="Eastern Oklahoma State College "/>
    <m/>
    <n v="207050"/>
    <x v="8"/>
    <n v="46267"/>
    <n v="45357"/>
    <n v="33941"/>
    <n v="33741"/>
    <n v="3516"/>
    <n v="2461"/>
    <n v="5352"/>
    <n v="3458"/>
    <m/>
    <n v="6102"/>
    <n v="3053"/>
    <m/>
    <m/>
    <m/>
    <n v="0"/>
    <n v="0"/>
    <m/>
    <m/>
    <m/>
    <m/>
    <m/>
    <m/>
    <m/>
    <m/>
    <m/>
    <m/>
    <m/>
    <m/>
  </r>
  <r>
    <x v="10"/>
    <s v="Murray State College "/>
    <m/>
    <n v="207236"/>
    <x v="8"/>
    <n v="60760"/>
    <n v="59204"/>
    <n v="40625"/>
    <n v="37440"/>
    <n v="2380"/>
    <n v="2772"/>
    <n v="10403"/>
    <n v="7352"/>
    <m/>
    <n v="11207"/>
    <n v="7749"/>
    <n v="36"/>
    <m/>
    <m/>
    <n v="0"/>
    <n v="0"/>
    <m/>
    <m/>
    <m/>
    <m/>
    <m/>
    <m/>
    <m/>
    <m/>
    <m/>
    <m/>
    <m/>
    <m/>
  </r>
  <r>
    <x v="10"/>
    <s v="Northeastern Oklahoma A &amp; M College "/>
    <s v="Met the criteria for Two-Year 2 institution in 2010-11 and 2011-12."/>
    <n v="207290"/>
    <x v="8"/>
    <n v="58870"/>
    <n v="63634"/>
    <n v="47185"/>
    <n v="49728"/>
    <n v="1383"/>
    <n v="1586"/>
    <n v="8689"/>
    <n v="1613"/>
    <m/>
    <n v="10937"/>
    <n v="1383"/>
    <m/>
    <m/>
    <m/>
    <n v="0"/>
    <n v="0"/>
    <m/>
    <m/>
    <m/>
    <m/>
    <m/>
    <m/>
    <m/>
    <m/>
    <m/>
    <m/>
    <m/>
    <m/>
  </r>
  <r>
    <x v="10"/>
    <s v="Redlands Community College"/>
    <m/>
    <n v="207069"/>
    <x v="8"/>
    <n v="49593"/>
    <n v="49031"/>
    <n v="27215"/>
    <n v="25983"/>
    <n v="7084"/>
    <n v="6878"/>
    <n v="13440"/>
    <n v="1854"/>
    <m/>
    <n v="14415"/>
    <n v="1755"/>
    <m/>
    <m/>
    <m/>
    <n v="0"/>
    <n v="0"/>
    <m/>
    <m/>
    <m/>
    <m/>
    <m/>
    <m/>
    <m/>
    <m/>
    <m/>
    <m/>
    <m/>
    <m/>
  </r>
  <r>
    <x v="10"/>
    <s v="Seminole State College "/>
    <m/>
    <n v="207740"/>
    <x v="8"/>
    <n v="48732"/>
    <n v="45684"/>
    <n v="34361"/>
    <n v="29558"/>
    <n v="7030"/>
    <n v="7727"/>
    <n v="7221"/>
    <n v="120"/>
    <m/>
    <n v="8288"/>
    <n v="111"/>
    <m/>
    <m/>
    <m/>
    <n v="0"/>
    <n v="0"/>
    <m/>
    <m/>
    <m/>
    <m/>
    <m/>
    <m/>
    <m/>
    <m/>
    <m/>
    <m/>
    <m/>
    <m/>
  </r>
  <r>
    <x v="10"/>
    <s v="Western Oklahoma State College "/>
    <s v="Met the criteria for Two-Year 2 institution in 2011-12."/>
    <n v="208035"/>
    <x v="8"/>
    <n v="58587"/>
    <n v="63048"/>
    <n v="21974"/>
    <n v="20713"/>
    <n v="5525"/>
    <n v="6022"/>
    <n v="28667"/>
    <n v="1911"/>
    <n v="510"/>
    <n v="34238"/>
    <n v="1715"/>
    <n v="360"/>
    <m/>
    <m/>
    <n v="0"/>
    <n v="0"/>
    <m/>
    <m/>
    <m/>
    <m/>
    <m/>
    <m/>
    <m/>
    <m/>
    <m/>
    <m/>
    <m/>
    <m/>
  </r>
  <r>
    <x v="11"/>
    <s v="Clemson University"/>
    <m/>
    <n v="217882"/>
    <x v="0"/>
    <n v="467392"/>
    <n v="491334"/>
    <n v="434260"/>
    <n v="451941"/>
    <n v="5322"/>
    <n v="15418"/>
    <n v="27810"/>
    <m/>
    <m/>
    <n v="23975"/>
    <m/>
    <m/>
    <m/>
    <m/>
    <n v="73789"/>
    <n v="77271"/>
    <n v="57420"/>
    <n v="57340"/>
    <n v="11411"/>
    <n v="15684"/>
    <n v="4958"/>
    <m/>
    <m/>
    <n v="4247"/>
    <m/>
    <m/>
    <m/>
    <m/>
  </r>
  <r>
    <x v="11"/>
    <s v="University of South Carolina-Columbia"/>
    <m/>
    <n v="218663"/>
    <x v="0"/>
    <n v="628870"/>
    <n v="674943"/>
    <n v="596746"/>
    <n v="637395"/>
    <n v="17350"/>
    <n v="15367"/>
    <n v="10183"/>
    <n v="3506"/>
    <n v="1085"/>
    <n v="17159"/>
    <n v="3833"/>
    <n v="1189"/>
    <m/>
    <m/>
    <n v="116559"/>
    <n v="118222"/>
    <n v="74601"/>
    <n v="73946"/>
    <n v="9276"/>
    <n v="9895"/>
    <n v="29956"/>
    <n v="474"/>
    <n v="2252"/>
    <n v="32293"/>
    <n v="174"/>
    <n v="1914"/>
    <m/>
    <m/>
  </r>
  <r>
    <x v="11"/>
    <s v="College of Charleston"/>
    <m/>
    <n v="217819"/>
    <x v="2"/>
    <n v="294793"/>
    <n v="302217"/>
    <n v="294499"/>
    <n v="299380"/>
    <n v="294"/>
    <n v="1795"/>
    <m/>
    <m/>
    <m/>
    <n v="1042"/>
    <m/>
    <m/>
    <m/>
    <m/>
    <n v="18228"/>
    <n v="19054"/>
    <n v="13057"/>
    <n v="10693"/>
    <n v="4911"/>
    <n v="7511"/>
    <n v="122"/>
    <m/>
    <n v="138"/>
    <n v="766"/>
    <m/>
    <n v="84"/>
    <m/>
    <m/>
  </r>
  <r>
    <x v="11"/>
    <s v="Winthrop University "/>
    <m/>
    <n v="218964"/>
    <x v="2"/>
    <n v="143586.5"/>
    <n v="143669"/>
    <n v="142629.5"/>
    <n v="139272"/>
    <n v="645"/>
    <n v="1273"/>
    <n v="312"/>
    <m/>
    <m/>
    <n v="3124"/>
    <m/>
    <m/>
    <m/>
    <m/>
    <n v="18159"/>
    <n v="18582"/>
    <n v="15896"/>
    <n v="14482"/>
    <n v="2032"/>
    <n v="2381"/>
    <n v="231"/>
    <m/>
    <m/>
    <n v="1719"/>
    <m/>
    <m/>
    <m/>
    <m/>
  </r>
  <r>
    <x v="11"/>
    <s v="The Citadel, the Military College of South Carolina "/>
    <s v="Met the criteria for Four-Year 3 in 2011-12."/>
    <n v="217864"/>
    <x v="3"/>
    <n v="85876"/>
    <n v="87469"/>
    <n v="85420"/>
    <n v="86618"/>
    <n v="237"/>
    <n v="231"/>
    <n v="219"/>
    <m/>
    <m/>
    <n v="620"/>
    <m/>
    <m/>
    <m/>
    <m/>
    <n v="15502"/>
    <n v="16062"/>
    <n v="14686"/>
    <n v="12780"/>
    <n v="579"/>
    <n v="1752"/>
    <n v="237"/>
    <m/>
    <m/>
    <n v="1530"/>
    <m/>
    <m/>
    <m/>
    <m/>
  </r>
  <r>
    <x v="11"/>
    <s v="Coastal Carolina University"/>
    <m/>
    <n v="218724"/>
    <x v="4"/>
    <n v="236506"/>
    <n v="249232"/>
    <n v="225585"/>
    <n v="233193"/>
    <n v="2531"/>
    <n v="1928"/>
    <n v="8390"/>
    <m/>
    <m/>
    <n v="14111"/>
    <m/>
    <m/>
    <m/>
    <m/>
    <n v="9490"/>
    <n v="9268"/>
    <n v="4434"/>
    <n v="5224"/>
    <n v="2725"/>
    <n v="1810"/>
    <n v="2331"/>
    <m/>
    <m/>
    <n v="2234"/>
    <m/>
    <m/>
    <m/>
    <m/>
  </r>
  <r>
    <x v="11"/>
    <s v="Francis Marion University "/>
    <m/>
    <n v="218061"/>
    <x v="4"/>
    <n v="103303"/>
    <n v="105516"/>
    <n v="103157"/>
    <n v="104723"/>
    <n v="140"/>
    <n v="517"/>
    <n v="6"/>
    <m/>
    <m/>
    <n v="276"/>
    <m/>
    <m/>
    <m/>
    <m/>
    <n v="4469"/>
    <n v="4967"/>
    <n v="2897"/>
    <n v="3461"/>
    <n v="1563"/>
    <n v="1425"/>
    <n v="9"/>
    <m/>
    <m/>
    <n v="81"/>
    <m/>
    <m/>
    <m/>
    <m/>
  </r>
  <r>
    <x v="11"/>
    <s v="South Carolina State University "/>
    <m/>
    <n v="218733"/>
    <x v="4"/>
    <n v="115174"/>
    <n v="112443"/>
    <n v="113401.53"/>
    <n v="108344"/>
    <n v="0"/>
    <n v="0"/>
    <n v="1483.47"/>
    <m/>
    <n v="289"/>
    <n v="3286"/>
    <m/>
    <n v="813"/>
    <m/>
    <m/>
    <n v="11075"/>
    <n v="10494"/>
    <n v="10358"/>
    <n v="8973"/>
    <m/>
    <m/>
    <n v="717"/>
    <m/>
    <m/>
    <n v="1359"/>
    <m/>
    <n v="162"/>
    <m/>
    <m/>
  </r>
  <r>
    <x v="11"/>
    <s v="Lander University"/>
    <m/>
    <n v="218229"/>
    <x v="5"/>
    <n v="82796.5"/>
    <n v="86311"/>
    <n v="77111.5"/>
    <n v="79212"/>
    <n v="310"/>
    <n v="906"/>
    <n v="5224"/>
    <n v="151"/>
    <m/>
    <n v="6133"/>
    <n v="60"/>
    <m/>
    <m/>
    <m/>
    <n v="1854"/>
    <n v="1674"/>
    <n v="1077"/>
    <n v="1137"/>
    <n v="306"/>
    <n v="255"/>
    <n v="471"/>
    <m/>
    <m/>
    <n v="282"/>
    <m/>
    <m/>
    <m/>
    <m/>
  </r>
  <r>
    <x v="11"/>
    <s v="University of South Carolina-Aiken"/>
    <m/>
    <n v="218645"/>
    <x v="5"/>
    <n v="84564"/>
    <n v="90109"/>
    <n v="77348"/>
    <n v="82281"/>
    <n v="3831"/>
    <n v="5702"/>
    <n v="3385"/>
    <m/>
    <m/>
    <n v="2126"/>
    <m/>
    <m/>
    <m/>
    <m/>
    <n v="1192"/>
    <n v="1222"/>
    <n v="565"/>
    <n v="602"/>
    <n v="198"/>
    <n v="272"/>
    <n v="429"/>
    <m/>
    <m/>
    <n v="348"/>
    <m/>
    <m/>
    <m/>
    <m/>
  </r>
  <r>
    <x v="11"/>
    <s v="University of South Carolina-Beaufort"/>
    <m/>
    <n v="218654"/>
    <x v="5"/>
    <n v="45714"/>
    <n v="53991"/>
    <n v="39739"/>
    <n v="48167"/>
    <n v="5975"/>
    <n v="5824"/>
    <m/>
    <m/>
    <m/>
    <m/>
    <m/>
    <m/>
    <m/>
    <m/>
    <n v="0"/>
    <n v="0"/>
    <m/>
    <m/>
    <m/>
    <m/>
    <m/>
    <m/>
    <m/>
    <m/>
    <m/>
    <m/>
    <m/>
    <m/>
  </r>
  <r>
    <x v="11"/>
    <s v="University of South Carolina-Upstate"/>
    <m/>
    <n v="218742"/>
    <x v="5"/>
    <n v="148590"/>
    <n v="161721"/>
    <n v="123088"/>
    <n v="134150"/>
    <n v="12990"/>
    <n v="11924"/>
    <n v="12344"/>
    <m/>
    <n v="168"/>
    <n v="15524"/>
    <n v="33"/>
    <n v="90"/>
    <m/>
    <m/>
    <n v="1351"/>
    <n v="1357"/>
    <n v="481"/>
    <n v="448"/>
    <n v="312"/>
    <n v="327"/>
    <n v="495"/>
    <n v="9"/>
    <n v="54"/>
    <n v="576"/>
    <m/>
    <n v="6"/>
    <m/>
    <m/>
  </r>
  <r>
    <x v="11"/>
    <s v="Greenville Technical College "/>
    <m/>
    <n v="218113"/>
    <x v="6"/>
    <n v="344968"/>
    <n v="374512.12"/>
    <n v="243786"/>
    <n v="282519.12"/>
    <n v="17540"/>
    <n v="16745"/>
    <n v="82412"/>
    <n v="660"/>
    <n v="570"/>
    <n v="75248"/>
    <m/>
    <m/>
    <m/>
    <m/>
    <n v="0"/>
    <n v="0"/>
    <m/>
    <m/>
    <m/>
    <m/>
    <m/>
    <m/>
    <m/>
    <m/>
    <m/>
    <m/>
    <m/>
    <m/>
  </r>
  <r>
    <x v="11"/>
    <s v="Horry-Georgetown Technical College "/>
    <s v="Reclassified: Met the criteria for Two-year 1 in 2009-10, 2010-11, and 2011-12."/>
    <n v="218140"/>
    <x v="6"/>
    <n v="173200"/>
    <n v="185537.02000000002"/>
    <n v="144519"/>
    <n v="152615.02000000002"/>
    <n v="6896"/>
    <n v="7547"/>
    <n v="21785"/>
    <m/>
    <m/>
    <n v="25375"/>
    <m/>
    <m/>
    <m/>
    <m/>
    <n v="0"/>
    <n v="0"/>
    <m/>
    <m/>
    <m/>
    <m/>
    <m/>
    <m/>
    <m/>
    <m/>
    <m/>
    <m/>
    <m/>
    <m/>
  </r>
  <r>
    <x v="11"/>
    <s v="Midlands Technical College "/>
    <m/>
    <n v="218353"/>
    <x v="6"/>
    <n v="281859"/>
    <n v="271208.90000000002"/>
    <n v="215337"/>
    <n v="219434.90000000002"/>
    <n v="16951"/>
    <n v="13433"/>
    <n v="49571"/>
    <m/>
    <m/>
    <n v="38341"/>
    <m/>
    <m/>
    <m/>
    <m/>
    <n v="0"/>
    <n v="0"/>
    <m/>
    <m/>
    <m/>
    <m/>
    <m/>
    <m/>
    <m/>
    <m/>
    <m/>
    <m/>
    <m/>
    <m/>
  </r>
  <r>
    <x v="11"/>
    <s v="Tri-County Technical College "/>
    <s v="Reclassified: Met the criteria for Two-year 1 in 2009-10, 2010-11, and 2011-12."/>
    <n v="218885"/>
    <x v="6"/>
    <n v="171851"/>
    <n v="185910.28"/>
    <n v="134614"/>
    <n v="146653.28"/>
    <n v="4608"/>
    <n v="3549"/>
    <n v="32629"/>
    <m/>
    <m/>
    <n v="35708"/>
    <m/>
    <m/>
    <m/>
    <m/>
    <n v="0"/>
    <n v="0"/>
    <m/>
    <m/>
    <m/>
    <m/>
    <m/>
    <m/>
    <m/>
    <m/>
    <m/>
    <m/>
    <m/>
    <m/>
  </r>
  <r>
    <x v="11"/>
    <s v="Trident Technical College "/>
    <m/>
    <n v="218894"/>
    <x v="6"/>
    <n v="357179"/>
    <n v="408457.47"/>
    <n v="264813"/>
    <n v="306852.46999999997"/>
    <n v="11457"/>
    <n v="12324"/>
    <n v="80909"/>
    <m/>
    <m/>
    <n v="89281"/>
    <m/>
    <m/>
    <m/>
    <m/>
    <n v="0"/>
    <n v="0"/>
    <m/>
    <m/>
    <m/>
    <m/>
    <m/>
    <m/>
    <m/>
    <m/>
    <m/>
    <m/>
    <m/>
    <m/>
  </r>
  <r>
    <x v="11"/>
    <s v="Aiken Technical College "/>
    <m/>
    <n v="217615"/>
    <x v="7"/>
    <n v="75200"/>
    <n v="83052.09"/>
    <n v="58693"/>
    <n v="67322.09"/>
    <n v="4571"/>
    <n v="4535"/>
    <n v="11936"/>
    <m/>
    <m/>
    <n v="11195"/>
    <m/>
    <m/>
    <m/>
    <m/>
    <n v="0"/>
    <n v="0"/>
    <m/>
    <m/>
    <m/>
    <m/>
    <m/>
    <m/>
    <m/>
    <m/>
    <m/>
    <m/>
    <m/>
    <m/>
  </r>
  <r>
    <x v="11"/>
    <s v="Central Carolina Technical College "/>
    <m/>
    <n v="218858"/>
    <x v="7"/>
    <n v="93068"/>
    <n v="106029.22"/>
    <n v="68067"/>
    <n v="80725.22"/>
    <n v="9497"/>
    <n v="9420"/>
    <n v="15504"/>
    <m/>
    <m/>
    <n v="15884"/>
    <m/>
    <m/>
    <m/>
    <m/>
    <n v="0"/>
    <n v="0"/>
    <m/>
    <m/>
    <m/>
    <m/>
    <m/>
    <m/>
    <m/>
    <m/>
    <m/>
    <m/>
    <m/>
    <m/>
  </r>
  <r>
    <x v="11"/>
    <s v="Florence-Darlington Technical College "/>
    <s v="Met the criteria for Two-year 1 in 2010-11 and 2011-12."/>
    <n v="218025"/>
    <x v="7"/>
    <n v="141993"/>
    <n v="165741.02000000002"/>
    <n v="98830"/>
    <n v="118345.02000000002"/>
    <n v="10162"/>
    <n v="10551"/>
    <n v="26610"/>
    <n v="6391"/>
    <m/>
    <n v="30519"/>
    <n v="6326"/>
    <m/>
    <m/>
    <m/>
    <n v="0"/>
    <n v="0"/>
    <m/>
    <m/>
    <m/>
    <m/>
    <m/>
    <m/>
    <m/>
    <m/>
    <m/>
    <m/>
    <m/>
    <m/>
  </r>
  <r>
    <x v="11"/>
    <s v="Orangeburg-Calhoun Technical College "/>
    <m/>
    <n v="218487"/>
    <x v="7"/>
    <n v="72998"/>
    <n v="79795.86"/>
    <n v="55716"/>
    <n v="64238.86"/>
    <n v="8717"/>
    <n v="8403"/>
    <n v="8565"/>
    <m/>
    <m/>
    <n v="7154"/>
    <m/>
    <m/>
    <m/>
    <m/>
    <n v="0"/>
    <n v="0"/>
    <m/>
    <m/>
    <m/>
    <m/>
    <m/>
    <m/>
    <m/>
    <m/>
    <m/>
    <m/>
    <m/>
    <m/>
  </r>
  <r>
    <x v="11"/>
    <s v="Piedmont Technical College "/>
    <s v="Met the criteria for Two-year 1 in 2010-11 and 2011-12."/>
    <n v="218520"/>
    <x v="7"/>
    <n v="138959"/>
    <n v="168991.87"/>
    <n v="71712"/>
    <n v="99839.87"/>
    <n v="15257"/>
    <n v="17335"/>
    <n v="36827"/>
    <n v="15163"/>
    <m/>
    <n v="39953"/>
    <n v="11864"/>
    <m/>
    <m/>
    <m/>
    <n v="0"/>
    <n v="0"/>
    <m/>
    <m/>
    <m/>
    <m/>
    <m/>
    <m/>
    <m/>
    <m/>
    <m/>
    <m/>
    <m/>
    <m/>
  </r>
  <r>
    <x v="11"/>
    <s v="Spartanburg Community College "/>
    <m/>
    <n v="218830"/>
    <x v="7"/>
    <n v="140025"/>
    <n v="152161.12"/>
    <n v="114546"/>
    <n v="122516.12"/>
    <n v="5936"/>
    <n v="6791"/>
    <n v="19534"/>
    <n v="9"/>
    <m/>
    <n v="22854"/>
    <m/>
    <m/>
    <m/>
    <m/>
    <n v="0"/>
    <n v="0"/>
    <m/>
    <m/>
    <m/>
    <m/>
    <m/>
    <m/>
    <m/>
    <m/>
    <m/>
    <m/>
    <m/>
    <m/>
  </r>
  <r>
    <x v="11"/>
    <s v="York Technical College "/>
    <m/>
    <n v="218991"/>
    <x v="7"/>
    <n v="140960"/>
    <n v="151048.74"/>
    <n v="89627"/>
    <n v="107025.73999999999"/>
    <n v="10099"/>
    <n v="8725"/>
    <n v="32197"/>
    <n v="8657"/>
    <n v="380"/>
    <n v="28140"/>
    <n v="7152"/>
    <n v="6"/>
    <m/>
    <m/>
    <n v="0"/>
    <n v="0"/>
    <m/>
    <m/>
    <m/>
    <m/>
    <m/>
    <m/>
    <m/>
    <m/>
    <m/>
    <m/>
    <m/>
    <m/>
  </r>
  <r>
    <x v="11"/>
    <s v="Denmark Technical College "/>
    <m/>
    <n v="217989"/>
    <x v="8"/>
    <n v="32782"/>
    <n v="38934.33"/>
    <n v="26294"/>
    <n v="34670.33"/>
    <n v="186"/>
    <n v="711"/>
    <n v="6302"/>
    <m/>
    <m/>
    <n v="3553"/>
    <m/>
    <m/>
    <m/>
    <m/>
    <n v="0"/>
    <n v="0"/>
    <m/>
    <m/>
    <m/>
    <m/>
    <m/>
    <m/>
    <m/>
    <m/>
    <m/>
    <m/>
    <m/>
    <m/>
  </r>
  <r>
    <x v="11"/>
    <s v="Northeastern Technical College "/>
    <m/>
    <n v="217837"/>
    <x v="8"/>
    <n v="29287"/>
    <n v="34578.79"/>
    <n v="21072"/>
    <n v="24247.79"/>
    <n v="672"/>
    <n v="385"/>
    <n v="3705"/>
    <n v="3838"/>
    <m/>
    <n v="4923"/>
    <n v="5023"/>
    <m/>
    <m/>
    <m/>
    <n v="0"/>
    <n v="0"/>
    <m/>
    <m/>
    <m/>
    <m/>
    <m/>
    <m/>
    <m/>
    <m/>
    <m/>
    <m/>
    <m/>
    <m/>
  </r>
  <r>
    <x v="11"/>
    <s v="Technical College of the Lowcountry"/>
    <s v="Met the criteria for Two-Year 2 in 2011-12."/>
    <n v="217712"/>
    <x v="8"/>
    <n v="60944"/>
    <n v="65141.969999999994"/>
    <n v="44542"/>
    <n v="51761.969999999994"/>
    <n v="346"/>
    <n v="1632"/>
    <n v="12243"/>
    <n v="3813"/>
    <m/>
    <n v="11748"/>
    <m/>
    <m/>
    <m/>
    <m/>
    <n v="0"/>
    <n v="0"/>
    <m/>
    <m/>
    <m/>
    <m/>
    <m/>
    <m/>
    <m/>
    <m/>
    <m/>
    <m/>
    <m/>
    <m/>
  </r>
  <r>
    <x v="11"/>
    <s v="University of South Carolina-Lancaster"/>
    <m/>
    <n v="218672"/>
    <x v="8"/>
    <n v="34947"/>
    <n v="37044"/>
    <n v="34646"/>
    <n v="36185"/>
    <n v="301"/>
    <n v="505"/>
    <n v="0"/>
    <m/>
    <m/>
    <n v="354"/>
    <m/>
    <m/>
    <m/>
    <m/>
    <n v="0"/>
    <n v="0"/>
    <m/>
    <m/>
    <m/>
    <m/>
    <m/>
    <m/>
    <m/>
    <m/>
    <m/>
    <m/>
    <m/>
    <m/>
  </r>
  <r>
    <x v="11"/>
    <s v="University of South Carolina-Salkehatchie"/>
    <m/>
    <n v="218681"/>
    <x v="8"/>
    <n v="21981"/>
    <n v="24064"/>
    <n v="21981"/>
    <n v="24064"/>
    <n v="0"/>
    <n v="0"/>
    <n v="0"/>
    <m/>
    <m/>
    <m/>
    <m/>
    <m/>
    <m/>
    <m/>
    <n v="0"/>
    <n v="0"/>
    <m/>
    <m/>
    <m/>
    <m/>
    <m/>
    <m/>
    <m/>
    <m/>
    <m/>
    <m/>
    <m/>
    <m/>
  </r>
  <r>
    <x v="11"/>
    <s v="University of South Carolina-Sumter"/>
    <m/>
    <n v="218690"/>
    <x v="8"/>
    <n v="26375"/>
    <n v="28405"/>
    <n v="22605"/>
    <n v="24391"/>
    <n v="3500"/>
    <n v="3777"/>
    <n v="270"/>
    <m/>
    <m/>
    <n v="237"/>
    <m/>
    <m/>
    <m/>
    <m/>
    <n v="0"/>
    <n v="0"/>
    <m/>
    <m/>
    <m/>
    <m/>
    <m/>
    <m/>
    <m/>
    <m/>
    <m/>
    <m/>
    <m/>
    <m/>
  </r>
  <r>
    <x v="11"/>
    <s v="University of South Carolina-Union"/>
    <m/>
    <n v="218706"/>
    <x v="8"/>
    <n v="10674"/>
    <n v="14034"/>
    <n v="9332"/>
    <n v="11533"/>
    <n v="1342"/>
    <n v="2501"/>
    <n v="0"/>
    <m/>
    <m/>
    <m/>
    <m/>
    <m/>
    <m/>
    <m/>
    <n v="0"/>
    <n v="0"/>
    <m/>
    <m/>
    <m/>
    <m/>
    <m/>
    <m/>
    <m/>
    <m/>
    <m/>
    <m/>
    <m/>
    <m/>
  </r>
  <r>
    <x v="11"/>
    <s v="Willamsburg Technical College "/>
    <m/>
    <n v="218955"/>
    <x v="8"/>
    <n v="18866"/>
    <n v="16747.490000000002"/>
    <n v="18524"/>
    <n v="16267.490000000002"/>
    <n v="220"/>
    <n v="348"/>
    <n v="122"/>
    <m/>
    <m/>
    <n v="132"/>
    <m/>
    <m/>
    <m/>
    <m/>
    <n v="0"/>
    <n v="0"/>
    <m/>
    <m/>
    <m/>
    <m/>
    <m/>
    <m/>
    <m/>
    <m/>
    <m/>
    <m/>
    <m/>
    <m/>
  </r>
  <r>
    <x v="12"/>
    <s v="University of Memphis"/>
    <m/>
    <n v="220862"/>
    <x v="0"/>
    <n v="422576"/>
    <n v="436950"/>
    <n v="351866"/>
    <n v="342254"/>
    <n v="7800"/>
    <n v="18793"/>
    <n v="42851"/>
    <n v="368"/>
    <n v="16665"/>
    <n v="53887"/>
    <n v="150"/>
    <n v="18709"/>
    <n v="3026"/>
    <n v="3157"/>
    <n v="83230"/>
    <n v="75706"/>
    <n v="55321"/>
    <n v="46191"/>
    <n v="10152"/>
    <n v="842"/>
    <n v="10405"/>
    <n v="51"/>
    <n v="1662"/>
    <n v="18120"/>
    <n v="132"/>
    <n v="4094"/>
    <n v="5639"/>
    <n v="6327"/>
  </r>
  <r>
    <x v="12"/>
    <s v="University of Tennessee, Knoxville"/>
    <m/>
    <n v="221759"/>
    <x v="0"/>
    <n v="567964"/>
    <n v="661664"/>
    <n v="487661"/>
    <n v="572222"/>
    <n v="969"/>
    <n v="24"/>
    <n v="72"/>
    <n v="792"/>
    <n v="78219"/>
    <n v="1920"/>
    <n v="0"/>
    <n v="83546"/>
    <n v="251"/>
    <n v="3952"/>
    <n v="129650"/>
    <n v="92816.900000000009"/>
    <n v="109147"/>
    <n v="78665.600000000006"/>
    <n v="1267"/>
    <n v="353"/>
    <n v="6803"/>
    <n v="75"/>
    <n v="11855"/>
    <n v="9244"/>
    <n v="0"/>
    <n v="1893.3"/>
    <n v="503"/>
    <n v="2661"/>
  </r>
  <r>
    <x v="12"/>
    <s v="Tennessee State University "/>
    <s v="Reclassified: Met the criteria for Four-Year 2 in 2009-10, 2010-11, and 2011-12."/>
    <n v="221838"/>
    <x v="1"/>
    <n v="182408"/>
    <n v="183269"/>
    <n v="154263"/>
    <n v="143834"/>
    <n v="14260"/>
    <n v="24389"/>
    <n v="12537"/>
    <n v="171"/>
    <n v="671"/>
    <n v="13721"/>
    <n v="0"/>
    <n v="926"/>
    <n v="506"/>
    <n v="399"/>
    <n v="32856"/>
    <n v="30967"/>
    <n v="26392"/>
    <n v="15785"/>
    <n v="1487"/>
    <n v="9246"/>
    <n v="1835"/>
    <n v="0"/>
    <n v="140"/>
    <n v="4974"/>
    <n v="0"/>
    <n v="279"/>
    <n v="3002"/>
    <n v="683"/>
  </r>
  <r>
    <x v="12"/>
    <s v="Austin Peay State University "/>
    <m/>
    <n v="219602"/>
    <x v="2"/>
    <n v="231958"/>
    <n v="240204"/>
    <n v="154611"/>
    <n v="161169"/>
    <n v="15145"/>
    <n v="14314"/>
    <n v="59191"/>
    <n v="0"/>
    <n v="2411"/>
    <n v="61326"/>
    <n v="0"/>
    <n v="2877"/>
    <n v="600"/>
    <n v="518"/>
    <n v="13956"/>
    <n v="14309"/>
    <n v="6356"/>
    <n v="5362"/>
    <n v="496"/>
    <n v="330"/>
    <n v="6932"/>
    <n v="0"/>
    <n v="55"/>
    <n v="8046"/>
    <n v="0"/>
    <n v="359"/>
    <n v="117"/>
    <n v="212"/>
  </r>
  <r>
    <x v="12"/>
    <s v="East Tennessee State University "/>
    <m/>
    <n v="220075"/>
    <x v="2"/>
    <n v="315496"/>
    <n v="323990"/>
    <n v="239142"/>
    <n v="239606"/>
    <n v="9334"/>
    <n v="8300"/>
    <n v="40456"/>
    <n v="9831"/>
    <n v="14290"/>
    <n v="45642"/>
    <n v="8559"/>
    <n v="19323"/>
    <n v="2443"/>
    <n v="2560"/>
    <n v="41178"/>
    <n v="35731"/>
    <n v="24434"/>
    <n v="19506"/>
    <n v="5183"/>
    <n v="958"/>
    <n v="8135"/>
    <n v="102"/>
    <n v="1622"/>
    <n v="11005"/>
    <n v="354"/>
    <n v="1846"/>
    <n v="1702"/>
    <n v="2062"/>
  </r>
  <r>
    <x v="12"/>
    <s v="Middle Tennessee State University "/>
    <m/>
    <n v="220978"/>
    <x v="2"/>
    <n v="618769"/>
    <n v="615412"/>
    <n v="530431"/>
    <n v="529290"/>
    <n v="10051"/>
    <n v="200"/>
    <n v="48763"/>
    <n v="2748"/>
    <n v="22415"/>
    <n v="58547"/>
    <n v="237"/>
    <n v="22585"/>
    <n v="4361"/>
    <n v="4553"/>
    <n v="41595"/>
    <n v="45612"/>
    <n v="28178"/>
    <n v="27998"/>
    <n v="2342"/>
    <n v="4436"/>
    <n v="5425"/>
    <n v="379"/>
    <n v="2190"/>
    <n v="9689"/>
    <n v="261"/>
    <n v="1192"/>
    <n v="3081"/>
    <n v="2036"/>
  </r>
  <r>
    <x v="12"/>
    <s v="Tennessee Technological University "/>
    <m/>
    <n v="221847"/>
    <x v="2"/>
    <n v="260418"/>
    <n v="214326"/>
    <n v="219607"/>
    <n v="177351"/>
    <n v="14260"/>
    <n v="7171"/>
    <n v="15262"/>
    <m/>
    <n v="8189"/>
    <n v="18429"/>
    <n v="0"/>
    <n v="7424"/>
    <n v="3100"/>
    <n v="3951"/>
    <n v="30181"/>
    <n v="18144"/>
    <n v="18854"/>
    <n v="6516"/>
    <n v="2014"/>
    <n v="1463"/>
    <n v="5845"/>
    <n v="42"/>
    <n v="467"/>
    <n v="6488"/>
    <n v="0"/>
    <n v="2048"/>
    <n v="2959"/>
    <n v="1629"/>
  </r>
  <r>
    <x v="12"/>
    <s v="University of Tennessee at Chattanooga"/>
    <m/>
    <n v="221740"/>
    <x v="2"/>
    <n v="241728"/>
    <n v="251180.3"/>
    <n v="234753"/>
    <n v="234245"/>
    <n v="1096"/>
    <n v="4434"/>
    <n v="4710"/>
    <n v="0"/>
    <n v="0"/>
    <n v="10464"/>
    <n v="0"/>
    <n v="920"/>
    <n v="1169"/>
    <n v="1117.3"/>
    <n v="25246"/>
    <n v="26225"/>
    <n v="19214"/>
    <n v="20337"/>
    <n v="2173"/>
    <n v="49"/>
    <n v="2317"/>
    <n v="318"/>
    <n v="0"/>
    <n v="3687"/>
    <n v="1158"/>
    <n v="393"/>
    <n v="1224"/>
    <n v="601"/>
  </r>
  <r>
    <x v="12"/>
    <s v="University of Tennessee at Martin"/>
    <s v="Met the criteria for Four-Year 4 in 2011-12."/>
    <n v="221768"/>
    <x v="4"/>
    <n v="189533"/>
    <n v="204980"/>
    <n v="176444"/>
    <n v="168049"/>
    <n v="1324"/>
    <n v="20985"/>
    <n v="8351"/>
    <n v="3191"/>
    <n v="51"/>
    <n v="13869"/>
    <n v="1758"/>
    <n v="93"/>
    <n v="172"/>
    <n v="226"/>
    <n v="6675"/>
    <n v="7227"/>
    <n v="2726"/>
    <n v="2164"/>
    <n v="53"/>
    <n v="15"/>
    <n v="3337"/>
    <n v="559"/>
    <n v="0"/>
    <n v="5015"/>
    <n v="33"/>
    <m/>
    <n v="0"/>
    <m/>
  </r>
  <r>
    <x v="12"/>
    <s v="Chattanooga State Technical Community College "/>
    <m/>
    <n v="219824"/>
    <x v="6"/>
    <n v="206006"/>
    <n v="212732"/>
    <n v="126190"/>
    <n v="117490"/>
    <n v="9093"/>
    <n v="17000"/>
    <n v="40317"/>
    <n v="0"/>
    <n v="30134"/>
    <n v="42832"/>
    <m/>
    <n v="34763"/>
    <n v="272"/>
    <n v="647"/>
    <n v="0"/>
    <n v="0"/>
    <m/>
    <m/>
    <m/>
    <m/>
    <m/>
    <m/>
    <m/>
    <m/>
    <m/>
    <m/>
    <m/>
    <m/>
  </r>
  <r>
    <x v="12"/>
    <s v="Nashville State Technical Community College"/>
    <s v="Reclassified: Met the criteria for Two-year 1 in 2009-10, 2010-11, and 2011-12."/>
    <n v="221184"/>
    <x v="6"/>
    <n v="188287"/>
    <n v="195813.5"/>
    <n v="136317"/>
    <n v="110553.5"/>
    <n v="9434"/>
    <n v="39276"/>
    <n v="38987"/>
    <n v="0"/>
    <n v="3447"/>
    <n v="40886"/>
    <n v="0"/>
    <n v="4958"/>
    <n v="102"/>
    <n v="140"/>
    <n v="0"/>
    <n v="0"/>
    <m/>
    <m/>
    <m/>
    <m/>
    <m/>
    <m/>
    <m/>
    <m/>
    <m/>
    <m/>
    <m/>
    <m/>
  </r>
  <r>
    <x v="12"/>
    <s v="Pellissippi State Technical Community College"/>
    <m/>
    <n v="221643"/>
    <x v="6"/>
    <n v="226193"/>
    <n v="235683"/>
    <n v="164209"/>
    <n v="148976"/>
    <n v="28803"/>
    <n v="52538"/>
    <n v="27318"/>
    <n v="1367"/>
    <n v="4323"/>
    <n v="28832"/>
    <n v="1323"/>
    <n v="3779"/>
    <n v="173"/>
    <n v="235"/>
    <n v="0"/>
    <n v="0"/>
    <m/>
    <m/>
    <m/>
    <m/>
    <m/>
    <m/>
    <m/>
    <m/>
    <m/>
    <m/>
    <m/>
    <m/>
  </r>
  <r>
    <x v="12"/>
    <s v="Southwest Tennessee Community College"/>
    <m/>
    <n v="221485"/>
    <x v="6"/>
    <n v="285586"/>
    <n v="282378"/>
    <n v="235"/>
    <n v="490"/>
    <n v="241596"/>
    <n v="242139"/>
    <n v="27381"/>
    <n v="3855"/>
    <n v="12415"/>
    <n v="30085"/>
    <n v="1734"/>
    <n v="7888"/>
    <n v="104"/>
    <n v="42"/>
    <n v="0"/>
    <n v="0"/>
    <m/>
    <m/>
    <m/>
    <m/>
    <m/>
    <m/>
    <m/>
    <m/>
    <m/>
    <m/>
    <m/>
    <m/>
  </r>
  <r>
    <x v="12"/>
    <s v="Volunteer State Community College "/>
    <s v="Reclassified: Met the criteria for Two-year 1 in 2009-10, 2010-11, and 2011-12."/>
    <n v="222053"/>
    <x v="6"/>
    <n v="177755"/>
    <n v="172295"/>
    <n v="124494"/>
    <n v="99124"/>
    <n v="4641"/>
    <n v="23836"/>
    <n v="39394"/>
    <n v="343"/>
    <n v="8452"/>
    <n v="40994"/>
    <n v="288"/>
    <n v="7473"/>
    <n v="431"/>
    <n v="580"/>
    <n v="0"/>
    <n v="0"/>
    <m/>
    <m/>
    <m/>
    <m/>
    <m/>
    <m/>
    <m/>
    <m/>
    <m/>
    <m/>
    <m/>
    <m/>
  </r>
  <r>
    <x v="12"/>
    <s v="Cleveland State Community College "/>
    <m/>
    <n v="219879"/>
    <x v="7"/>
    <n v="77183"/>
    <n v="79753"/>
    <n v="53523"/>
    <n v="45868"/>
    <n v="6649"/>
    <n v="10230"/>
    <n v="10044"/>
    <n v="957"/>
    <n v="4650"/>
    <n v="10832"/>
    <n v="309"/>
    <n v="10992"/>
    <n v="1360"/>
    <n v="1522"/>
    <n v="0"/>
    <n v="0"/>
    <m/>
    <m/>
    <m/>
    <m/>
    <m/>
    <m/>
    <m/>
    <m/>
    <m/>
    <m/>
    <m/>
    <m/>
  </r>
  <r>
    <x v="12"/>
    <s v="Columbia State Community College "/>
    <m/>
    <n v="219888"/>
    <x v="7"/>
    <n v="112558"/>
    <n v="110306"/>
    <n v="75972"/>
    <n v="45404"/>
    <n v="7395"/>
    <n v="36640"/>
    <n v="15625"/>
    <n v="6441"/>
    <n v="7018"/>
    <n v="16570"/>
    <n v="5886"/>
    <n v="5733"/>
    <n v="107"/>
    <n v="73"/>
    <n v="0"/>
    <n v="0"/>
    <m/>
    <m/>
    <m/>
    <m/>
    <m/>
    <m/>
    <m/>
    <m/>
    <m/>
    <m/>
    <m/>
    <m/>
  </r>
  <r>
    <x v="12"/>
    <s v="Dyersburg State Community College "/>
    <s v="Reclassified: Met the criteria for Two-year 2 in 2009-10, 2010-11, and 2011-12."/>
    <n v="220057"/>
    <x v="7"/>
    <n v="72924"/>
    <n v="71139"/>
    <n v="47414"/>
    <n v="26289"/>
    <n v="8655"/>
    <n v="28464"/>
    <n v="7543"/>
    <n v="961"/>
    <n v="8061"/>
    <n v="9731"/>
    <n v="2514"/>
    <n v="3796"/>
    <n v="290"/>
    <n v="345"/>
    <n v="0"/>
    <n v="0"/>
    <m/>
    <m/>
    <m/>
    <m/>
    <m/>
    <m/>
    <m/>
    <m/>
    <m/>
    <m/>
    <m/>
    <m/>
  </r>
  <r>
    <x v="12"/>
    <s v="Jackson State Community College "/>
    <m/>
    <n v="220400"/>
    <x v="7"/>
    <n v="109536"/>
    <n v="104120"/>
    <n v="62450"/>
    <n v="50431"/>
    <n v="1232"/>
    <n v="10511"/>
    <n v="28762"/>
    <n v="4114"/>
    <n v="12771"/>
    <n v="26776"/>
    <n v="4026"/>
    <n v="12219"/>
    <n v="207"/>
    <n v="157"/>
    <n v="0"/>
    <n v="0"/>
    <m/>
    <m/>
    <m/>
    <m/>
    <m/>
    <m/>
    <m/>
    <m/>
    <m/>
    <m/>
    <m/>
    <m/>
  </r>
  <r>
    <x v="12"/>
    <s v="Motlow State Community College "/>
    <m/>
    <n v="221096"/>
    <x v="7"/>
    <n v="105975"/>
    <n v="99616"/>
    <n v="31854"/>
    <n v="29535"/>
    <n v="53563"/>
    <n v="49512"/>
    <n v="14923"/>
    <n v="5478"/>
    <n v="0"/>
    <n v="14891"/>
    <n v="5380"/>
    <n v="48"/>
    <n v="157"/>
    <n v="250"/>
    <n v="0"/>
    <n v="0"/>
    <m/>
    <m/>
    <m/>
    <m/>
    <m/>
    <m/>
    <m/>
    <m/>
    <m/>
    <m/>
    <m/>
    <m/>
  </r>
  <r>
    <x v="12"/>
    <s v="Northeast State Technical Community College"/>
    <m/>
    <n v="221908"/>
    <x v="7"/>
    <n v="141525"/>
    <n v="142268"/>
    <n v="108718"/>
    <n v="88386"/>
    <n v="9828"/>
    <n v="31025"/>
    <n v="7172"/>
    <n v="3606"/>
    <n v="12137"/>
    <n v="8778"/>
    <n v="3610"/>
    <n v="10433"/>
    <n v="64"/>
    <n v="36"/>
    <n v="0"/>
    <n v="0"/>
    <m/>
    <m/>
    <m/>
    <m/>
    <m/>
    <m/>
    <m/>
    <m/>
    <m/>
    <m/>
    <m/>
    <m/>
  </r>
  <r>
    <x v="12"/>
    <s v="Roane State Community College "/>
    <m/>
    <n v="221397"/>
    <x v="7"/>
    <n v="135128"/>
    <n v="134423"/>
    <n v="23396"/>
    <n v="22110"/>
    <n v="73521"/>
    <n v="71576"/>
    <n v="24860"/>
    <n v="8852"/>
    <n v="4397"/>
    <n v="27435"/>
    <n v="7929"/>
    <n v="5285"/>
    <n v="102"/>
    <n v="88"/>
    <n v="0"/>
    <n v="0"/>
    <m/>
    <m/>
    <m/>
    <m/>
    <m/>
    <m/>
    <m/>
    <m/>
    <m/>
    <m/>
    <m/>
    <m/>
  </r>
  <r>
    <x v="12"/>
    <s v="Walters State Community College "/>
    <m/>
    <n v="222062"/>
    <x v="7"/>
    <n v="147715"/>
    <n v="144311"/>
    <n v="107742"/>
    <n v="65267"/>
    <n v="8269"/>
    <n v="51290"/>
    <n v="16078"/>
    <n v="4026"/>
    <n v="11586"/>
    <n v="15353"/>
    <n v="3314"/>
    <n v="9072"/>
    <n v="14"/>
    <n v="15"/>
    <n v="0"/>
    <n v="0"/>
    <m/>
    <m/>
    <m/>
    <m/>
    <m/>
    <m/>
    <m/>
    <m/>
    <m/>
    <m/>
    <m/>
    <m/>
  </r>
  <r>
    <x v="12"/>
    <s v="Tennessee Technology Center at Athens"/>
    <m/>
    <n v="219596"/>
    <x v="10"/>
    <n v="0"/>
    <n v="0"/>
    <m/>
    <m/>
    <m/>
    <m/>
    <m/>
    <m/>
    <m/>
    <m/>
    <m/>
    <m/>
    <m/>
    <m/>
    <n v="0"/>
    <n v="0"/>
    <m/>
    <m/>
    <m/>
    <m/>
    <m/>
    <m/>
    <m/>
    <m/>
    <m/>
    <m/>
    <m/>
    <m/>
  </r>
  <r>
    <x v="12"/>
    <s v="Tennessee Technology Center at Chattanooga"/>
    <s v="Met the criteria for Technical Institute or College 1 in 2010-11 and 2011-12."/>
    <s v="219824B"/>
    <x v="10"/>
    <n v="0"/>
    <n v="0"/>
    <m/>
    <m/>
    <m/>
    <m/>
    <m/>
    <m/>
    <m/>
    <m/>
    <m/>
    <m/>
    <m/>
    <m/>
    <n v="0"/>
    <n v="0"/>
    <m/>
    <m/>
    <m/>
    <m/>
    <m/>
    <m/>
    <m/>
    <m/>
    <m/>
    <m/>
    <m/>
    <m/>
  </r>
  <r>
    <x v="12"/>
    <s v="Tennessee Technology Center at Covington"/>
    <m/>
    <n v="219921"/>
    <x v="10"/>
    <n v="0"/>
    <n v="0"/>
    <m/>
    <m/>
    <m/>
    <m/>
    <m/>
    <m/>
    <m/>
    <m/>
    <m/>
    <m/>
    <m/>
    <m/>
    <n v="0"/>
    <n v="0"/>
    <m/>
    <m/>
    <m/>
    <m/>
    <m/>
    <m/>
    <m/>
    <m/>
    <m/>
    <m/>
    <m/>
    <m/>
  </r>
  <r>
    <x v="12"/>
    <s v="Tennessee Technology Center at Crossville"/>
    <m/>
    <n v="221591"/>
    <x v="10"/>
    <n v="0"/>
    <n v="0"/>
    <m/>
    <m/>
    <m/>
    <m/>
    <m/>
    <m/>
    <m/>
    <m/>
    <m/>
    <m/>
    <m/>
    <m/>
    <n v="0"/>
    <n v="0"/>
    <m/>
    <m/>
    <m/>
    <m/>
    <m/>
    <m/>
    <m/>
    <m/>
    <m/>
    <m/>
    <m/>
    <m/>
  </r>
  <r>
    <x v="12"/>
    <s v="Tennessee Technology Center at Crump"/>
    <m/>
    <n v="221430"/>
    <x v="10"/>
    <n v="0"/>
    <n v="0"/>
    <m/>
    <m/>
    <m/>
    <m/>
    <m/>
    <m/>
    <m/>
    <m/>
    <m/>
    <m/>
    <m/>
    <m/>
    <n v="0"/>
    <n v="0"/>
    <m/>
    <m/>
    <m/>
    <m/>
    <m/>
    <m/>
    <m/>
    <m/>
    <m/>
    <m/>
    <m/>
    <m/>
  </r>
  <r>
    <x v="12"/>
    <s v="Tennessee Technology Center at Dickson"/>
    <m/>
    <n v="219994"/>
    <x v="10"/>
    <n v="0"/>
    <n v="0"/>
    <m/>
    <m/>
    <m/>
    <m/>
    <m/>
    <m/>
    <m/>
    <m/>
    <m/>
    <m/>
    <m/>
    <m/>
    <n v="0"/>
    <n v="0"/>
    <m/>
    <m/>
    <m/>
    <m/>
    <m/>
    <m/>
    <m/>
    <m/>
    <m/>
    <m/>
    <m/>
    <m/>
  </r>
  <r>
    <x v="12"/>
    <s v="Tennessee Technology Center at Elizabethton"/>
    <m/>
    <n v="220127"/>
    <x v="10"/>
    <n v="0"/>
    <n v="0"/>
    <m/>
    <m/>
    <m/>
    <m/>
    <m/>
    <m/>
    <m/>
    <m/>
    <m/>
    <m/>
    <m/>
    <m/>
    <n v="0"/>
    <n v="0"/>
    <m/>
    <m/>
    <m/>
    <m/>
    <m/>
    <m/>
    <m/>
    <m/>
    <m/>
    <m/>
    <m/>
    <m/>
  </r>
  <r>
    <x v="12"/>
    <s v="Tennessee Technology Center at Harriman"/>
    <m/>
    <n v="220251"/>
    <x v="10"/>
    <n v="0"/>
    <n v="0"/>
    <m/>
    <m/>
    <m/>
    <m/>
    <m/>
    <m/>
    <m/>
    <m/>
    <m/>
    <m/>
    <m/>
    <m/>
    <n v="0"/>
    <n v="0"/>
    <m/>
    <m/>
    <m/>
    <m/>
    <m/>
    <m/>
    <m/>
    <m/>
    <m/>
    <m/>
    <m/>
    <m/>
  </r>
  <r>
    <x v="12"/>
    <s v="Tennessee Technology Center at Hartsville"/>
    <m/>
    <n v="220279"/>
    <x v="10"/>
    <n v="0"/>
    <n v="0"/>
    <m/>
    <m/>
    <m/>
    <m/>
    <m/>
    <m/>
    <m/>
    <m/>
    <m/>
    <m/>
    <m/>
    <m/>
    <n v="0"/>
    <n v="0"/>
    <m/>
    <m/>
    <m/>
    <m/>
    <m/>
    <m/>
    <m/>
    <m/>
    <m/>
    <m/>
    <m/>
    <m/>
  </r>
  <r>
    <x v="12"/>
    <s v="Tennessee Technology Center at Hohenwald"/>
    <m/>
    <n v="220321"/>
    <x v="10"/>
    <n v="0"/>
    <n v="0"/>
    <m/>
    <m/>
    <m/>
    <m/>
    <m/>
    <m/>
    <m/>
    <m/>
    <m/>
    <m/>
    <m/>
    <m/>
    <n v="0"/>
    <n v="0"/>
    <m/>
    <m/>
    <m/>
    <m/>
    <m/>
    <m/>
    <m/>
    <m/>
    <m/>
    <m/>
    <m/>
    <m/>
  </r>
  <r>
    <x v="12"/>
    <s v="Tennessee Technology Center at Jacksboro"/>
    <m/>
    <n v="220394"/>
    <x v="10"/>
    <n v="0"/>
    <n v="0"/>
    <m/>
    <m/>
    <m/>
    <m/>
    <m/>
    <m/>
    <m/>
    <m/>
    <m/>
    <m/>
    <m/>
    <m/>
    <n v="0"/>
    <n v="0"/>
    <m/>
    <m/>
    <m/>
    <m/>
    <m/>
    <m/>
    <m/>
    <m/>
    <m/>
    <m/>
    <m/>
    <m/>
  </r>
  <r>
    <x v="12"/>
    <s v="Tennessee Technology Center at Jackson"/>
    <m/>
    <n v="221616"/>
    <x v="10"/>
    <n v="0"/>
    <n v="0"/>
    <m/>
    <m/>
    <m/>
    <m/>
    <m/>
    <m/>
    <m/>
    <m/>
    <m/>
    <m/>
    <m/>
    <m/>
    <n v="0"/>
    <n v="0"/>
    <m/>
    <m/>
    <m/>
    <m/>
    <m/>
    <m/>
    <m/>
    <m/>
    <m/>
    <m/>
    <m/>
    <m/>
  </r>
  <r>
    <x v="12"/>
    <s v="Tennessee Technology Center at Knoxville"/>
    <m/>
    <n v="221625"/>
    <x v="10"/>
    <n v="0"/>
    <n v="0"/>
    <m/>
    <m/>
    <m/>
    <m/>
    <m/>
    <m/>
    <m/>
    <m/>
    <m/>
    <m/>
    <m/>
    <m/>
    <n v="0"/>
    <n v="0"/>
    <m/>
    <m/>
    <m/>
    <m/>
    <m/>
    <m/>
    <m/>
    <m/>
    <m/>
    <m/>
    <m/>
    <m/>
  </r>
  <r>
    <x v="12"/>
    <s v="Tennessee Technology Center at Livingston"/>
    <m/>
    <n v="220640"/>
    <x v="10"/>
    <n v="0"/>
    <n v="0"/>
    <m/>
    <m/>
    <m/>
    <m/>
    <m/>
    <m/>
    <m/>
    <m/>
    <m/>
    <m/>
    <m/>
    <m/>
    <n v="0"/>
    <n v="0"/>
    <m/>
    <m/>
    <m/>
    <m/>
    <m/>
    <m/>
    <m/>
    <m/>
    <m/>
    <m/>
    <m/>
    <m/>
  </r>
  <r>
    <x v="12"/>
    <s v="Tennessee Technology Center at McKenzie"/>
    <m/>
    <n v="220756"/>
    <x v="10"/>
    <n v="0"/>
    <n v="0"/>
    <m/>
    <m/>
    <m/>
    <m/>
    <m/>
    <m/>
    <m/>
    <m/>
    <m/>
    <m/>
    <m/>
    <m/>
    <n v="0"/>
    <n v="0"/>
    <m/>
    <m/>
    <m/>
    <m/>
    <m/>
    <m/>
    <m/>
    <m/>
    <m/>
    <m/>
    <m/>
    <m/>
  </r>
  <r>
    <x v="12"/>
    <s v="Tennessee Technology Center at McMinnville"/>
    <m/>
    <n v="221607"/>
    <x v="10"/>
    <n v="0"/>
    <n v="0"/>
    <m/>
    <m/>
    <m/>
    <m/>
    <m/>
    <m/>
    <m/>
    <m/>
    <m/>
    <m/>
    <m/>
    <m/>
    <n v="0"/>
    <n v="0"/>
    <m/>
    <m/>
    <m/>
    <m/>
    <m/>
    <m/>
    <m/>
    <m/>
    <m/>
    <m/>
    <m/>
    <m/>
  </r>
  <r>
    <x v="12"/>
    <s v="Tennessee Technology Center at Memphis"/>
    <s v="Met the criteria for Technical Institute or College 1 in 2011-12."/>
    <n v="220853"/>
    <x v="10"/>
    <n v="0"/>
    <n v="0"/>
    <m/>
    <m/>
    <m/>
    <m/>
    <m/>
    <m/>
    <m/>
    <m/>
    <m/>
    <m/>
    <m/>
    <m/>
    <n v="0"/>
    <n v="0"/>
    <m/>
    <m/>
    <m/>
    <m/>
    <m/>
    <m/>
    <m/>
    <m/>
    <m/>
    <m/>
    <m/>
    <m/>
  </r>
  <r>
    <x v="12"/>
    <s v="Tennessee Technology Center at Morristown"/>
    <m/>
    <n v="221050"/>
    <x v="10"/>
    <n v="0"/>
    <n v="0"/>
    <m/>
    <m/>
    <m/>
    <m/>
    <m/>
    <m/>
    <m/>
    <m/>
    <m/>
    <m/>
    <m/>
    <m/>
    <n v="0"/>
    <n v="0"/>
    <m/>
    <m/>
    <m/>
    <m/>
    <m/>
    <m/>
    <m/>
    <m/>
    <m/>
    <m/>
    <m/>
    <m/>
  </r>
  <r>
    <x v="12"/>
    <s v="Tennessee Technology Center at Murfreesboro"/>
    <m/>
    <n v="221102"/>
    <x v="10"/>
    <n v="0"/>
    <n v="0"/>
    <m/>
    <m/>
    <m/>
    <m/>
    <m/>
    <m/>
    <m/>
    <m/>
    <m/>
    <m/>
    <m/>
    <m/>
    <n v="0"/>
    <n v="0"/>
    <m/>
    <m/>
    <m/>
    <m/>
    <m/>
    <m/>
    <m/>
    <m/>
    <m/>
    <m/>
    <m/>
    <m/>
  </r>
  <r>
    <x v="12"/>
    <s v="Tennessee Technology Center at Nashville"/>
    <s v="Met the criteria for Technical Institute or College 1 in 2011-12."/>
    <n v="248925"/>
    <x v="10"/>
    <n v="0"/>
    <n v="0"/>
    <m/>
    <m/>
    <m/>
    <m/>
    <m/>
    <m/>
    <m/>
    <m/>
    <m/>
    <m/>
    <m/>
    <m/>
    <n v="0"/>
    <n v="0"/>
    <m/>
    <m/>
    <m/>
    <m/>
    <m/>
    <m/>
    <m/>
    <m/>
    <m/>
    <m/>
    <m/>
    <m/>
  </r>
  <r>
    <x v="12"/>
    <s v="Tennessee Technology Center at Newbern"/>
    <m/>
    <n v="221236"/>
    <x v="10"/>
    <n v="0"/>
    <n v="0"/>
    <m/>
    <m/>
    <m/>
    <m/>
    <m/>
    <m/>
    <m/>
    <m/>
    <m/>
    <m/>
    <m/>
    <m/>
    <n v="0"/>
    <n v="0"/>
    <m/>
    <m/>
    <m/>
    <m/>
    <m/>
    <m/>
    <m/>
    <m/>
    <m/>
    <m/>
    <m/>
    <m/>
  </r>
  <r>
    <x v="12"/>
    <s v="Tennessee Technology Center at Oneida"/>
    <m/>
    <n v="221582"/>
    <x v="10"/>
    <n v="0"/>
    <n v="0"/>
    <m/>
    <m/>
    <m/>
    <m/>
    <m/>
    <m/>
    <m/>
    <m/>
    <m/>
    <m/>
    <m/>
    <m/>
    <n v="0"/>
    <n v="0"/>
    <m/>
    <m/>
    <m/>
    <m/>
    <m/>
    <m/>
    <m/>
    <m/>
    <m/>
    <m/>
    <m/>
    <m/>
  </r>
  <r>
    <x v="12"/>
    <s v="Tennessee Technology Center at Paris"/>
    <m/>
    <n v="221281"/>
    <x v="10"/>
    <n v="0"/>
    <n v="0"/>
    <m/>
    <m/>
    <m/>
    <m/>
    <m/>
    <m/>
    <m/>
    <m/>
    <m/>
    <m/>
    <m/>
    <m/>
    <n v="0"/>
    <n v="0"/>
    <m/>
    <m/>
    <m/>
    <m/>
    <m/>
    <m/>
    <m/>
    <m/>
    <m/>
    <m/>
    <m/>
    <m/>
  </r>
  <r>
    <x v="12"/>
    <s v="Tennessee Technology Center at Pulaski"/>
    <m/>
    <n v="221333"/>
    <x v="10"/>
    <n v="0"/>
    <n v="0"/>
    <m/>
    <m/>
    <m/>
    <m/>
    <m/>
    <m/>
    <m/>
    <m/>
    <m/>
    <m/>
    <m/>
    <m/>
    <n v="0"/>
    <n v="0"/>
    <m/>
    <m/>
    <m/>
    <m/>
    <m/>
    <m/>
    <m/>
    <m/>
    <m/>
    <m/>
    <m/>
    <m/>
  </r>
  <r>
    <x v="12"/>
    <s v="Tennessee Technology Center at Ripley"/>
    <m/>
    <n v="221388"/>
    <x v="10"/>
    <n v="0"/>
    <n v="0"/>
    <m/>
    <m/>
    <m/>
    <m/>
    <m/>
    <m/>
    <m/>
    <m/>
    <m/>
    <m/>
    <m/>
    <m/>
    <n v="0"/>
    <n v="0"/>
    <m/>
    <m/>
    <m/>
    <m/>
    <m/>
    <m/>
    <m/>
    <m/>
    <m/>
    <m/>
    <m/>
    <m/>
  </r>
  <r>
    <x v="12"/>
    <s v="Tennessee Technology Center at Shelbyville"/>
    <m/>
    <n v="221494"/>
    <x v="10"/>
    <n v="0"/>
    <n v="0"/>
    <m/>
    <m/>
    <m/>
    <m/>
    <m/>
    <m/>
    <m/>
    <m/>
    <m/>
    <m/>
    <m/>
    <m/>
    <n v="0"/>
    <n v="0"/>
    <m/>
    <m/>
    <m/>
    <m/>
    <m/>
    <m/>
    <m/>
    <m/>
    <m/>
    <m/>
    <m/>
    <m/>
  </r>
  <r>
    <x v="12"/>
    <s v="Tennessee Technology Center at Whiteville"/>
    <m/>
    <n v="221634"/>
    <x v="10"/>
    <n v="0"/>
    <n v="0"/>
    <m/>
    <m/>
    <m/>
    <m/>
    <m/>
    <m/>
    <m/>
    <m/>
    <m/>
    <m/>
    <m/>
    <m/>
    <n v="0"/>
    <n v="0"/>
    <m/>
    <m/>
    <m/>
    <m/>
    <m/>
    <m/>
    <m/>
    <m/>
    <m/>
    <m/>
    <m/>
    <m/>
  </r>
  <r>
    <x v="13"/>
    <s v="Texas A &amp; M University "/>
    <m/>
    <n v="228723"/>
    <x v="0"/>
    <n v="1063598"/>
    <n v="1078649"/>
    <n v="1015216"/>
    <n v="1025835"/>
    <n v="6032"/>
    <n v="5542"/>
    <n v="37071"/>
    <n v="20"/>
    <n v="5259"/>
    <n v="38262"/>
    <n v="6"/>
    <n v="9004"/>
    <m/>
    <m/>
    <n v="177489"/>
    <n v="176496"/>
    <n v="156968"/>
    <n v="155812"/>
    <n v="2970"/>
    <n v="3130"/>
    <n v="12682"/>
    <n v="254"/>
    <n v="4615"/>
    <n v="13443"/>
    <n v="90"/>
    <n v="4021"/>
    <m/>
    <m/>
  </r>
  <r>
    <x v="13"/>
    <s v="Texas Tech University "/>
    <m/>
    <n v="229115"/>
    <x v="0"/>
    <n v="689132"/>
    <n v="703553"/>
    <n v="660748"/>
    <n v="661186"/>
    <n v="7960"/>
    <n v="7078"/>
    <n v="20409"/>
    <n v="0"/>
    <n v="15"/>
    <n v="35289"/>
    <n v="0"/>
    <n v="0"/>
    <m/>
    <m/>
    <n v="118242"/>
    <n v="120413"/>
    <n v="100163"/>
    <n v="101055"/>
    <n v="2011"/>
    <n v="895"/>
    <n v="16033"/>
    <n v="0"/>
    <n v="35"/>
    <n v="18460"/>
    <n v="3"/>
    <n v="0"/>
    <m/>
    <m/>
  </r>
  <r>
    <x v="13"/>
    <s v="University of Houston"/>
    <m/>
    <n v="225511"/>
    <x v="0"/>
    <n v="741538"/>
    <n v="772875"/>
    <n v="599157"/>
    <n v="618211"/>
    <n v="4531"/>
    <n v="5414"/>
    <n v="116691"/>
    <n v="162"/>
    <n v="20997"/>
    <n v="149187"/>
    <n v="63"/>
    <n v="0"/>
    <m/>
    <m/>
    <n v="179542"/>
    <n v="179826"/>
    <n v="167445"/>
    <n v="166963"/>
    <n v="2727"/>
    <n v="2502"/>
    <n v="8511"/>
    <n v="69"/>
    <n v="790"/>
    <n v="10328"/>
    <n v="33"/>
    <n v="0"/>
    <m/>
    <m/>
  </r>
  <r>
    <x v="13"/>
    <s v="University of North Texas"/>
    <m/>
    <n v="227216"/>
    <x v="0"/>
    <n v="745337"/>
    <n v="749078"/>
    <n v="667691"/>
    <n v="667307"/>
    <n v="3640"/>
    <n v="2708"/>
    <n v="73940"/>
    <n v="12"/>
    <n v="54"/>
    <n v="78991"/>
    <n v="21"/>
    <n v="51"/>
    <m/>
    <m/>
    <n v="111147"/>
    <n v="110081"/>
    <n v="73085"/>
    <n v="73532"/>
    <n v="2617"/>
    <n v="2649"/>
    <n v="35250"/>
    <n v="168"/>
    <n v="27"/>
    <n v="33750"/>
    <n v="150"/>
    <n v="0"/>
    <m/>
    <m/>
  </r>
  <r>
    <x v="13"/>
    <s v="University of Texas at Arlington"/>
    <m/>
    <n v="228769"/>
    <x v="0"/>
    <n v="576495"/>
    <n v="635226"/>
    <n v="484110"/>
    <n v="494907"/>
    <n v="2509"/>
    <n v="1206"/>
    <n v="86162"/>
    <n v="273"/>
    <n v="3441"/>
    <n v="136397"/>
    <n v="0"/>
    <n v="2716"/>
    <m/>
    <m/>
    <n v="123024"/>
    <n v="141161"/>
    <n v="85072"/>
    <n v="84194"/>
    <n v="12060"/>
    <n v="13086"/>
    <n v="25089"/>
    <n v="108"/>
    <n v="695"/>
    <n v="43141"/>
    <n v="6"/>
    <n v="734"/>
    <m/>
    <m/>
  </r>
  <r>
    <x v="13"/>
    <s v="University of Texas at Austin"/>
    <m/>
    <n v="228778"/>
    <x v="0"/>
    <n v="1037705"/>
    <n v="1044081"/>
    <n v="1032585"/>
    <n v="1038847"/>
    <n v="5120"/>
    <n v="5234"/>
    <n v="0"/>
    <n v="0"/>
    <n v="0"/>
    <n v="0"/>
    <n v="0"/>
    <n v="0"/>
    <m/>
    <m/>
    <n v="268580"/>
    <n v="268775"/>
    <n v="268094"/>
    <n v="268587"/>
    <n v="486"/>
    <n v="188"/>
    <n v="0"/>
    <n v="0"/>
    <n v="0"/>
    <n v="0"/>
    <n v="0"/>
    <n v="0"/>
    <m/>
    <m/>
  </r>
  <r>
    <x v="13"/>
    <s v="University of Texas at Dallas"/>
    <m/>
    <n v="228787"/>
    <x v="0"/>
    <n v="268230"/>
    <n v="293125"/>
    <n v="261382"/>
    <n v="279940"/>
    <n v="1221"/>
    <n v="1613"/>
    <n v="5606"/>
    <n v="21"/>
    <n v="0"/>
    <n v="11569"/>
    <n v="3"/>
    <n v="0"/>
    <m/>
    <m/>
    <n v="114444"/>
    <n v="120080"/>
    <n v="99432"/>
    <n v="105652"/>
    <n v="468"/>
    <n v="90"/>
    <n v="14544"/>
    <n v="0"/>
    <n v="0"/>
    <n v="14338"/>
    <n v="0"/>
    <n v="0"/>
    <m/>
    <m/>
  </r>
  <r>
    <x v="13"/>
    <s v="Texas Woman's University"/>
    <s v="Met the criteria for Four-Year 1 in 2010-11 and 2011-12."/>
    <n v="229179"/>
    <x v="1"/>
    <n v="207868"/>
    <n v="221575"/>
    <n v="154155"/>
    <n v="163845"/>
    <n v="2978"/>
    <n v="2569"/>
    <n v="50615"/>
    <n v="60"/>
    <n v="60"/>
    <n v="55101"/>
    <n v="0"/>
    <n v="60"/>
    <m/>
    <m/>
    <n v="99837"/>
    <n v="101023"/>
    <n v="48747"/>
    <n v="50672"/>
    <n v="1944"/>
    <n v="549"/>
    <n v="48680"/>
    <n v="466"/>
    <n v="0"/>
    <n v="49414"/>
    <n v="388"/>
    <n v="0"/>
    <m/>
    <m/>
  </r>
  <r>
    <x v="13"/>
    <s v="University of Texas at El Paso"/>
    <m/>
    <n v="228796"/>
    <x v="1"/>
    <n v="435923"/>
    <n v="458406"/>
    <n v="409500"/>
    <n v="411558"/>
    <n v="5130"/>
    <n v="5619"/>
    <n v="21293"/>
    <n v="0"/>
    <n v="0"/>
    <n v="41229"/>
    <n v="0"/>
    <n v="0"/>
    <m/>
    <m/>
    <n v="60139"/>
    <n v="60922"/>
    <n v="45393"/>
    <n v="41754"/>
    <n v="3106"/>
    <n v="4181"/>
    <n v="11640"/>
    <n v="0"/>
    <n v="0"/>
    <n v="14987"/>
    <n v="0"/>
    <n v="0"/>
    <m/>
    <m/>
  </r>
  <r>
    <x v="13"/>
    <s v="University of Texas at San Antonio"/>
    <m/>
    <n v="229027"/>
    <x v="1"/>
    <n v="631779"/>
    <n v="652638"/>
    <n v="612260"/>
    <n v="625696"/>
    <n v="2580"/>
    <n v="1740"/>
    <n v="11230"/>
    <n v="5709"/>
    <n v="0"/>
    <n v="19223"/>
    <n v="5979"/>
    <n v="0"/>
    <m/>
    <m/>
    <n v="63158"/>
    <n v="69896"/>
    <n v="61073"/>
    <n v="65474"/>
    <n v="720"/>
    <n v="825"/>
    <n v="1212"/>
    <n v="153"/>
    <n v="0"/>
    <n v="3495"/>
    <n v="102"/>
    <n v="0"/>
    <m/>
    <m/>
  </r>
  <r>
    <x v="13"/>
    <s v="Angelo State University"/>
    <m/>
    <n v="222831"/>
    <x v="2"/>
    <n v="150284"/>
    <n v="152059"/>
    <n v="139059"/>
    <n v="137821"/>
    <n v="0"/>
    <n v="0"/>
    <n v="11225"/>
    <n v="0"/>
    <n v="0"/>
    <n v="14238"/>
    <n v="0"/>
    <n v="0"/>
    <m/>
    <m/>
    <n v="11853"/>
    <n v="14688"/>
    <n v="5210"/>
    <n v="5944"/>
    <n v="0"/>
    <n v="0"/>
    <n v="6643"/>
    <n v="0"/>
    <n v="0"/>
    <n v="8744"/>
    <n v="0"/>
    <n v="0"/>
    <m/>
    <m/>
  </r>
  <r>
    <x v="13"/>
    <s v="Lamar University"/>
    <m/>
    <n v="226091"/>
    <x v="2"/>
    <n v="232181"/>
    <n v="239775"/>
    <n v="197967"/>
    <n v="197132"/>
    <n v="4041"/>
    <n v="4174"/>
    <n v="27213"/>
    <n v="2669"/>
    <n v="291"/>
    <n v="37026"/>
    <n v="1443"/>
    <n v="0"/>
    <m/>
    <m/>
    <n v="98151"/>
    <n v="78787"/>
    <n v="22898"/>
    <n v="21774"/>
    <n v="0"/>
    <n v="0"/>
    <n v="28495"/>
    <n v="330"/>
    <n v="46428"/>
    <n v="57013"/>
    <n v="0"/>
    <n v="0"/>
    <m/>
    <m/>
  </r>
  <r>
    <x v="13"/>
    <s v="Midwestern State University"/>
    <m/>
    <n v="226833"/>
    <x v="2"/>
    <n v="141792"/>
    <n v="138852"/>
    <n v="123522"/>
    <n v="119912"/>
    <n v="2623"/>
    <n v="1433"/>
    <n v="15647"/>
    <n v="0"/>
    <n v="0"/>
    <n v="17507"/>
    <n v="0"/>
    <n v="0"/>
    <m/>
    <m/>
    <n v="8356"/>
    <n v="8449"/>
    <n v="5894"/>
    <n v="5017"/>
    <n v="108"/>
    <n v="45"/>
    <n v="2312"/>
    <n v="42"/>
    <n v="0"/>
    <n v="3366"/>
    <n v="21"/>
    <n v="0"/>
    <m/>
    <m/>
  </r>
  <r>
    <x v="13"/>
    <s v="Prairie View A &amp; M University"/>
    <m/>
    <n v="227526"/>
    <x v="2"/>
    <n v="182890"/>
    <n v="180915"/>
    <n v="176738"/>
    <n v="179475"/>
    <n v="5360"/>
    <n v="12"/>
    <n v="792"/>
    <n v="0"/>
    <n v="0"/>
    <n v="1428"/>
    <n v="0"/>
    <n v="0"/>
    <m/>
    <m/>
    <n v="32482"/>
    <n v="28054"/>
    <n v="26648"/>
    <n v="20806"/>
    <n v="2042"/>
    <n v="2877"/>
    <n v="3792"/>
    <n v="0"/>
    <n v="0"/>
    <n v="4371"/>
    <n v="0"/>
    <n v="0"/>
    <m/>
    <m/>
  </r>
  <r>
    <x v="13"/>
    <s v="Sam Houston State University "/>
    <m/>
    <n v="227881"/>
    <x v="2"/>
    <n v="401035"/>
    <n v="403910"/>
    <n v="365223"/>
    <n v="360327"/>
    <n v="20939"/>
    <n v="11983"/>
    <n v="14873"/>
    <n v="0"/>
    <n v="0"/>
    <n v="31600"/>
    <n v="0"/>
    <n v="0"/>
    <m/>
    <m/>
    <n v="41725"/>
    <n v="43473"/>
    <n v="16059"/>
    <n v="17604"/>
    <n v="7237"/>
    <n v="2529"/>
    <n v="18357"/>
    <n v="72"/>
    <n v="0"/>
    <n v="23139"/>
    <n v="171"/>
    <n v="30"/>
    <m/>
    <m/>
  </r>
  <r>
    <x v="13"/>
    <s v="Stephen F. Austin State University"/>
    <m/>
    <n v="228431"/>
    <x v="2"/>
    <n v="304689"/>
    <n v="302536"/>
    <n v="265392"/>
    <n v="260416"/>
    <n v="3705"/>
    <n v="1054"/>
    <n v="32900"/>
    <n v="249"/>
    <n v="2443"/>
    <n v="36107"/>
    <n v="201"/>
    <n v="4758"/>
    <m/>
    <m/>
    <n v="27713"/>
    <n v="24250"/>
    <n v="16426"/>
    <n v="14908"/>
    <n v="1248"/>
    <n v="531"/>
    <n v="9395"/>
    <n v="217"/>
    <n v="427"/>
    <n v="7681"/>
    <n v="217"/>
    <n v="913"/>
    <m/>
    <m/>
  </r>
  <r>
    <x v="13"/>
    <s v="Sul Ross State University "/>
    <m/>
    <n v="228501"/>
    <x v="2"/>
    <n v="36926"/>
    <n v="37837"/>
    <n v="32570"/>
    <n v="32459"/>
    <n v="53"/>
    <n v="3"/>
    <n v="3438"/>
    <n v="865"/>
    <n v="0"/>
    <n v="4587"/>
    <n v="788"/>
    <n v="0"/>
    <m/>
    <m/>
    <n v="9264"/>
    <n v="8987"/>
    <n v="3889"/>
    <n v="3227"/>
    <n v="572"/>
    <n v="219"/>
    <n v="4155"/>
    <n v="648"/>
    <n v="0"/>
    <n v="5112"/>
    <n v="429"/>
    <n v="0"/>
    <m/>
    <m/>
  </r>
  <r>
    <x v="13"/>
    <s v="Tarleton State University"/>
    <m/>
    <n v="228529"/>
    <x v="2"/>
    <n v="196208"/>
    <n v="211207"/>
    <n v="156242"/>
    <n v="161134"/>
    <n v="15185"/>
    <n v="17911"/>
    <n v="24091"/>
    <n v="690"/>
    <n v="0"/>
    <n v="31670"/>
    <n v="492"/>
    <n v="0"/>
    <m/>
    <m/>
    <n v="21239"/>
    <n v="22440"/>
    <n v="5253"/>
    <n v="5089"/>
    <n v="8113"/>
    <n v="7802"/>
    <n v="7765"/>
    <n v="108"/>
    <n v="0"/>
    <n v="9529"/>
    <n v="20"/>
    <n v="0"/>
    <m/>
    <m/>
  </r>
  <r>
    <x v="13"/>
    <s v="Texas A &amp; M International University"/>
    <m/>
    <n v="226152"/>
    <x v="2"/>
    <n v="133036"/>
    <n v="140861"/>
    <n v="126419"/>
    <n v="132551"/>
    <n v="0"/>
    <n v="2516"/>
    <n v="6617"/>
    <n v="0"/>
    <n v="0"/>
    <n v="5716"/>
    <n v="78"/>
    <n v="0"/>
    <m/>
    <m/>
    <n v="14220"/>
    <n v="12661"/>
    <n v="10989"/>
    <n v="9547"/>
    <n v="0"/>
    <n v="18"/>
    <n v="3060"/>
    <n v="171"/>
    <n v="0"/>
    <n v="3009"/>
    <n v="87"/>
    <n v="0"/>
    <m/>
    <m/>
  </r>
  <r>
    <x v="13"/>
    <s v="Texas A &amp; M University - Commerce"/>
    <m/>
    <n v="224554"/>
    <x v="2"/>
    <n v="149128"/>
    <n v="164243"/>
    <n v="98196"/>
    <n v="103847"/>
    <n v="14970"/>
    <n v="16428"/>
    <n v="35659"/>
    <n v="303"/>
    <n v="0"/>
    <n v="43545"/>
    <n v="423"/>
    <n v="0"/>
    <m/>
    <m/>
    <n v="64200"/>
    <n v="70252"/>
    <n v="17488"/>
    <n v="18731"/>
    <n v="16093"/>
    <n v="15180"/>
    <n v="30190"/>
    <n v="429"/>
    <n v="0"/>
    <n v="35921"/>
    <n v="420"/>
    <n v="0"/>
    <m/>
    <m/>
  </r>
  <r>
    <x v="13"/>
    <s v="Texas A &amp; M University-Corpus Christi "/>
    <m/>
    <n v="224147"/>
    <x v="2"/>
    <n v="210868"/>
    <n v="219390"/>
    <n v="203818"/>
    <n v="211253"/>
    <n v="0"/>
    <n v="0"/>
    <n v="7050"/>
    <n v="0"/>
    <n v="0"/>
    <n v="8137"/>
    <n v="0"/>
    <n v="0"/>
    <m/>
    <m/>
    <n v="31031"/>
    <n v="30694"/>
    <n v="24486"/>
    <n v="23586"/>
    <n v="0"/>
    <n v="0"/>
    <n v="6545"/>
    <n v="0"/>
    <n v="0"/>
    <n v="7108"/>
    <n v="0"/>
    <n v="0"/>
    <m/>
    <m/>
  </r>
  <r>
    <x v="13"/>
    <s v="Texas A &amp; M University-Kingsville"/>
    <m/>
    <n v="228705"/>
    <x v="2"/>
    <n v="131247"/>
    <n v="140055"/>
    <n v="127316"/>
    <n v="134040"/>
    <n v="947"/>
    <n v="1101"/>
    <n v="2640"/>
    <n v="344"/>
    <n v="0"/>
    <n v="4608"/>
    <n v="306"/>
    <n v="0"/>
    <m/>
    <m/>
    <n v="21491"/>
    <n v="21495"/>
    <n v="16976"/>
    <n v="17613"/>
    <n v="0"/>
    <n v="12"/>
    <n v="4416"/>
    <n v="99"/>
    <n v="0"/>
    <n v="3708"/>
    <n v="162"/>
    <n v="0"/>
    <m/>
    <m/>
  </r>
  <r>
    <x v="13"/>
    <s v="Texas Southern University "/>
    <m/>
    <n v="229063"/>
    <x v="2"/>
    <n v="188315"/>
    <n v="181105"/>
    <n v="184649"/>
    <n v="177441"/>
    <n v="90"/>
    <n v="88"/>
    <n v="1227"/>
    <n v="0"/>
    <n v="2349"/>
    <n v="0"/>
    <n v="0"/>
    <n v="3576"/>
    <m/>
    <m/>
    <n v="53606"/>
    <n v="59197"/>
    <n v="48809"/>
    <n v="51346"/>
    <n v="369"/>
    <n v="360"/>
    <n v="2619"/>
    <n v="0"/>
    <n v="1809"/>
    <n v="0"/>
    <n v="0"/>
    <n v="7491"/>
    <m/>
    <m/>
  </r>
  <r>
    <x v="13"/>
    <s v="Texas State University - San Marcos "/>
    <m/>
    <n v="228459"/>
    <x v="2"/>
    <n v="711892"/>
    <n v="748416"/>
    <n v="672208"/>
    <n v="702029"/>
    <n v="28613"/>
    <n v="31364"/>
    <n v="10578"/>
    <n v="217"/>
    <n v="276"/>
    <n v="14486"/>
    <n v="156"/>
    <n v="381"/>
    <m/>
    <m/>
    <n v="78046"/>
    <n v="79610"/>
    <n v="60760"/>
    <n v="61890"/>
    <n v="10625"/>
    <n v="10394"/>
    <n v="6040"/>
    <n v="573"/>
    <n v="48"/>
    <n v="6648"/>
    <n v="603"/>
    <n v="75"/>
    <m/>
    <m/>
  </r>
  <r>
    <x v="13"/>
    <s v="University of Houston-Clear Lake "/>
    <m/>
    <n v="225414"/>
    <x v="2"/>
    <n v="103500"/>
    <n v="106310"/>
    <n v="80826"/>
    <n v="76747"/>
    <n v="6642"/>
    <n v="8657"/>
    <n v="16032"/>
    <n v="0"/>
    <n v="0"/>
    <n v="20906"/>
    <n v="0"/>
    <n v="0"/>
    <m/>
    <m/>
    <n v="53447"/>
    <n v="53804"/>
    <n v="33248"/>
    <n v="32520"/>
    <n v="6044"/>
    <n v="6250"/>
    <n v="14155"/>
    <n v="0"/>
    <n v="0"/>
    <n v="15034"/>
    <n v="0"/>
    <n v="0"/>
    <m/>
    <m/>
  </r>
  <r>
    <x v="13"/>
    <s v="University of Texas at Brownsville"/>
    <m/>
    <n v="227377"/>
    <x v="2"/>
    <n v="96681"/>
    <n v="102704"/>
    <n v="80727"/>
    <n v="84689"/>
    <n v="0"/>
    <n v="0"/>
    <n v="15954"/>
    <n v="0"/>
    <n v="0"/>
    <n v="18015"/>
    <n v="0"/>
    <n v="0"/>
    <m/>
    <m/>
    <n v="12357"/>
    <n v="13683"/>
    <n v="9949"/>
    <n v="9867"/>
    <n v="0"/>
    <n v="0"/>
    <n v="2408"/>
    <n v="0"/>
    <n v="0"/>
    <n v="3816"/>
    <n v="0"/>
    <n v="0"/>
    <m/>
    <m/>
  </r>
  <r>
    <x v="13"/>
    <s v="University of Texas at Tyler"/>
    <m/>
    <n v="228802"/>
    <x v="2"/>
    <n v="125035"/>
    <n v="126526"/>
    <n v="112529"/>
    <n v="104995"/>
    <n v="1643"/>
    <n v="1294"/>
    <n v="5936"/>
    <n v="4927"/>
    <n v="0"/>
    <n v="15001"/>
    <n v="5233"/>
    <n v="3"/>
    <m/>
    <m/>
    <n v="19100"/>
    <n v="23461"/>
    <n v="9974"/>
    <n v="9199"/>
    <n v="84"/>
    <n v="36"/>
    <n v="8679"/>
    <n v="363"/>
    <n v="0"/>
    <n v="14070"/>
    <n v="126"/>
    <n v="30"/>
    <m/>
    <m/>
  </r>
  <r>
    <x v="13"/>
    <s v="University of Texas of the Permian Basin"/>
    <s v="Reclassified: Met the criteria for Four-Year 3 in 2009-10, 2010-11 and 2011-12."/>
    <n v="229018"/>
    <x v="2"/>
    <n v="74012"/>
    <n v="76144"/>
    <n v="59299"/>
    <n v="58219"/>
    <n v="622"/>
    <n v="4"/>
    <n v="14079"/>
    <n v="12"/>
    <n v="0"/>
    <n v="17918"/>
    <n v="3"/>
    <n v="0"/>
    <m/>
    <m/>
    <n v="10029"/>
    <n v="8911"/>
    <n v="5712"/>
    <n v="4825"/>
    <n v="33"/>
    <n v="0"/>
    <n v="4284"/>
    <n v="0"/>
    <n v="0"/>
    <n v="4086"/>
    <n v="0"/>
    <n v="0"/>
    <m/>
    <m/>
  </r>
  <r>
    <x v="13"/>
    <s v="University of Texas-Pan American"/>
    <m/>
    <n v="227368"/>
    <x v="2"/>
    <n v="432823"/>
    <n v="434759"/>
    <n v="402907"/>
    <n v="394909"/>
    <n v="3261"/>
    <n v="1473"/>
    <n v="26085"/>
    <n v="570"/>
    <n v="0"/>
    <n v="38107"/>
    <n v="270"/>
    <n v="0"/>
    <m/>
    <m/>
    <n v="43229"/>
    <n v="42868"/>
    <n v="37173"/>
    <n v="32660"/>
    <n v="2703"/>
    <n v="2172"/>
    <n v="3353"/>
    <n v="0"/>
    <n v="0"/>
    <n v="7901"/>
    <n v="135"/>
    <n v="0"/>
    <m/>
    <m/>
  </r>
  <r>
    <x v="13"/>
    <s v="West Texas A &amp; M University"/>
    <m/>
    <n v="229814"/>
    <x v="2"/>
    <n v="167750"/>
    <n v="172603"/>
    <n v="135758"/>
    <n v="138298"/>
    <n v="87"/>
    <n v="42"/>
    <n v="31905"/>
    <n v="0"/>
    <n v="0"/>
    <n v="34194"/>
    <n v="0"/>
    <n v="69"/>
    <m/>
    <m/>
    <n v="20269"/>
    <n v="20098"/>
    <n v="9853"/>
    <n v="10145"/>
    <n v="252"/>
    <n v="267"/>
    <n v="10164"/>
    <n v="0"/>
    <n v="0"/>
    <n v="9677"/>
    <n v="0"/>
    <n v="9"/>
    <m/>
    <m/>
  </r>
  <r>
    <x v="13"/>
    <s v="Texas A &amp; M -Texarkana"/>
    <m/>
    <n v="224545"/>
    <x v="3"/>
    <n v="27281"/>
    <n v="32905"/>
    <n v="16265"/>
    <n v="25481"/>
    <n v="4086"/>
    <n v="2125"/>
    <n v="6324"/>
    <n v="606"/>
    <n v="0"/>
    <n v="5167"/>
    <n v="132"/>
    <n v="0"/>
    <m/>
    <m/>
    <n v="9721"/>
    <n v="7605"/>
    <n v="5089"/>
    <n v="4890"/>
    <n v="1590"/>
    <n v="513"/>
    <n v="3042"/>
    <n v="0"/>
    <n v="0"/>
    <n v="2202"/>
    <n v="0"/>
    <n v="0"/>
    <m/>
    <m/>
  </r>
  <r>
    <x v="13"/>
    <s v="University of Houston-Victoria"/>
    <m/>
    <n v="225502"/>
    <x v="3"/>
    <n v="49683"/>
    <n v="58096"/>
    <n v="6829"/>
    <n v="10405"/>
    <n v="7859"/>
    <n v="8919"/>
    <n v="30849"/>
    <n v="1379"/>
    <n v="2767"/>
    <n v="34998"/>
    <n v="3774"/>
    <n v="0"/>
    <m/>
    <m/>
    <n v="27186"/>
    <n v="27234"/>
    <n v="981"/>
    <n v="771"/>
    <n v="5853"/>
    <n v="4866"/>
    <n v="18906"/>
    <n v="789"/>
    <n v="657"/>
    <n v="20265"/>
    <n v="1332"/>
    <n v="0"/>
    <m/>
    <m/>
  </r>
  <r>
    <x v="13"/>
    <s v="Sul Ross State University-Rio Grande College"/>
    <m/>
    <s v="228501B"/>
    <x v="4"/>
    <n v="17595"/>
    <n v="16859"/>
    <n v="8539"/>
    <n v="6932"/>
    <n v="0"/>
    <n v="0"/>
    <n v="4253"/>
    <n v="4803"/>
    <n v="0"/>
    <n v="5200"/>
    <n v="4727"/>
    <n v="0"/>
    <m/>
    <m/>
    <n v="3612"/>
    <n v="3276"/>
    <n v="2052"/>
    <n v="2025"/>
    <n v="0"/>
    <n v="0"/>
    <n v="1161"/>
    <n v="399"/>
    <n v="0"/>
    <n v="969"/>
    <n v="282"/>
    <n v="0"/>
    <m/>
    <m/>
  </r>
  <r>
    <x v="13"/>
    <s v="University of Houston-Downtown"/>
    <m/>
    <n v="225432"/>
    <x v="4"/>
    <n v="264140"/>
    <n v="268037"/>
    <n v="211159"/>
    <n v="191758"/>
    <n v="12808"/>
    <n v="11562"/>
    <n v="39399"/>
    <n v="774"/>
    <n v="0"/>
    <n v="64682"/>
    <n v="35"/>
    <n v="0"/>
    <m/>
    <m/>
    <n v="2013"/>
    <n v="2169"/>
    <n v="1911"/>
    <n v="1464"/>
    <n v="30"/>
    <n v="36"/>
    <n v="72"/>
    <n v="0"/>
    <n v="0"/>
    <n v="669"/>
    <n v="0"/>
    <n v="0"/>
    <m/>
    <m/>
  </r>
  <r>
    <x v="13"/>
    <s v="Texas A &amp; M University at Galveston"/>
    <m/>
    <n v="228714"/>
    <x v="5"/>
    <n v="49481"/>
    <n v="54166"/>
    <n v="49475"/>
    <n v="54166"/>
    <n v="0"/>
    <n v="0"/>
    <n v="6"/>
    <n v="0"/>
    <n v="0"/>
    <n v="0"/>
    <n v="0"/>
    <n v="0"/>
    <m/>
    <m/>
    <n v="996"/>
    <n v="1211"/>
    <n v="921"/>
    <n v="1114"/>
    <n v="12"/>
    <n v="0"/>
    <n v="42"/>
    <n v="0"/>
    <n v="21"/>
    <n v="97"/>
    <n v="0"/>
    <n v="0"/>
    <m/>
    <m/>
  </r>
  <r>
    <x v="13"/>
    <s v="Brazosport College "/>
    <m/>
    <n v="223506"/>
    <x v="11"/>
    <n v="78728"/>
    <n v="81798"/>
    <n v="62683"/>
    <n v="62991"/>
    <n v="4942"/>
    <n v="5424"/>
    <n v="11103"/>
    <n v="0"/>
    <n v="0"/>
    <n v="13383"/>
    <n v="0"/>
    <n v="0"/>
    <m/>
    <m/>
    <n v="0"/>
    <n v="0"/>
    <m/>
    <m/>
    <m/>
    <m/>
    <m/>
    <m/>
    <m/>
    <m/>
    <m/>
    <m/>
    <m/>
    <m/>
  </r>
  <r>
    <x v="13"/>
    <s v="Midland College "/>
    <m/>
    <n v="226806"/>
    <x v="11"/>
    <n v="125438"/>
    <n v="123616"/>
    <n v="81111"/>
    <n v="75043"/>
    <n v="2678"/>
    <n v="2884"/>
    <n v="40355"/>
    <n v="1294"/>
    <n v="0"/>
    <n v="44600"/>
    <n v="1089"/>
    <n v="0"/>
    <m/>
    <m/>
    <n v="0"/>
    <n v="0"/>
    <m/>
    <m/>
    <m/>
    <m/>
    <m/>
    <m/>
    <m/>
    <m/>
    <m/>
    <m/>
    <m/>
    <m/>
  </r>
  <r>
    <x v="13"/>
    <s v="South Texas College"/>
    <m/>
    <n v="409315"/>
    <x v="11"/>
    <n v="543940"/>
    <n v="562427"/>
    <n v="467854"/>
    <n v="473169"/>
    <n v="0"/>
    <n v="0"/>
    <n v="75897"/>
    <n v="0"/>
    <n v="189"/>
    <n v="89183"/>
    <n v="0"/>
    <n v="75"/>
    <m/>
    <m/>
    <n v="0"/>
    <n v="0"/>
    <m/>
    <m/>
    <m/>
    <m/>
    <m/>
    <m/>
    <m/>
    <m/>
    <m/>
    <m/>
    <m/>
    <m/>
  </r>
  <r>
    <x v="13"/>
    <s v="Amarillo College "/>
    <m/>
    <n v="222576"/>
    <x v="6"/>
    <n v="213375"/>
    <n v="211780"/>
    <n v="145744"/>
    <n v="143649"/>
    <n v="7229"/>
    <n v="5704"/>
    <n v="51591"/>
    <n v="390"/>
    <n v="8421"/>
    <n v="56814"/>
    <n v="141"/>
    <n v="5472"/>
    <m/>
    <m/>
    <n v="0"/>
    <n v="0"/>
    <m/>
    <m/>
    <m/>
    <m/>
    <m/>
    <m/>
    <m/>
    <m/>
    <m/>
    <m/>
    <m/>
    <m/>
  </r>
  <r>
    <x v="13"/>
    <s v="Austin Community College "/>
    <m/>
    <n v="222992"/>
    <x v="6"/>
    <n v="816462"/>
    <n v="835864"/>
    <n v="680276"/>
    <n v="781722"/>
    <n v="48752"/>
    <n v="44284"/>
    <n v="84116"/>
    <n v="0"/>
    <n v="3318"/>
    <n v="6567"/>
    <n v="0"/>
    <n v="3291"/>
    <m/>
    <m/>
    <n v="0"/>
    <n v="0"/>
    <m/>
    <m/>
    <m/>
    <m/>
    <m/>
    <m/>
    <m/>
    <m/>
    <m/>
    <m/>
    <m/>
    <m/>
  </r>
  <r>
    <x v="13"/>
    <s v="Blinn College "/>
    <m/>
    <n v="223427"/>
    <x v="6"/>
    <n v="389577"/>
    <n v="396118"/>
    <n v="59797"/>
    <n v="196698"/>
    <n v="273747"/>
    <n v="162216"/>
    <n v="56033"/>
    <n v="0"/>
    <n v="0"/>
    <n v="37204"/>
    <n v="0"/>
    <n v="0"/>
    <m/>
    <m/>
    <n v="0"/>
    <n v="0"/>
    <m/>
    <m/>
    <m/>
    <m/>
    <m/>
    <m/>
    <m/>
    <m/>
    <m/>
    <m/>
    <m/>
    <m/>
  </r>
  <r>
    <x v="13"/>
    <s v="Brookhaven College (DCCCD)"/>
    <m/>
    <n v="223524"/>
    <x v="6"/>
    <n v="216050"/>
    <n v="215235"/>
    <n v="161260"/>
    <n v="156792"/>
    <n v="0"/>
    <n v="0"/>
    <n v="54564"/>
    <n v="0"/>
    <n v="226"/>
    <n v="58254"/>
    <n v="0"/>
    <n v="189"/>
    <m/>
    <m/>
    <n v="0"/>
    <n v="0"/>
    <m/>
    <m/>
    <m/>
    <m/>
    <m/>
    <m/>
    <m/>
    <m/>
    <m/>
    <m/>
    <m/>
    <m/>
  </r>
  <r>
    <x v="13"/>
    <s v="Central Texas College "/>
    <m/>
    <n v="223816"/>
    <x v="6"/>
    <n v="311862"/>
    <n v="320494"/>
    <n v="114054"/>
    <n v="113758"/>
    <n v="71851"/>
    <n v="65167"/>
    <n v="121892"/>
    <n v="1117"/>
    <n v="2948"/>
    <n v="132464"/>
    <n v="900"/>
    <n v="8205"/>
    <m/>
    <m/>
    <n v="0"/>
    <n v="0"/>
    <m/>
    <m/>
    <m/>
    <m/>
    <m/>
    <m/>
    <m/>
    <m/>
    <m/>
    <m/>
    <m/>
    <m/>
  </r>
  <r>
    <x v="13"/>
    <s v="Collin County Community College District"/>
    <m/>
    <n v="247834"/>
    <x v="6"/>
    <n v="528290"/>
    <n v="537272"/>
    <n v="461806"/>
    <n v="463367"/>
    <n v="3666"/>
    <n v="8126"/>
    <n v="61619"/>
    <n v="0"/>
    <n v="1199"/>
    <n v="62020"/>
    <n v="0"/>
    <n v="3759"/>
    <m/>
    <m/>
    <n v="0"/>
    <n v="0"/>
    <m/>
    <m/>
    <m/>
    <m/>
    <m/>
    <m/>
    <m/>
    <m/>
    <m/>
    <m/>
    <m/>
    <m/>
  </r>
  <r>
    <x v="13"/>
    <s v="Del Mar College "/>
    <m/>
    <n v="224350"/>
    <x v="6"/>
    <n v="235688"/>
    <n v="230905"/>
    <n v="211095"/>
    <n v="206100"/>
    <n v="2151"/>
    <n v="4084"/>
    <n v="22442"/>
    <n v="0"/>
    <n v="0"/>
    <n v="20721"/>
    <n v="0"/>
    <n v="0"/>
    <m/>
    <m/>
    <n v="0"/>
    <n v="0"/>
    <m/>
    <m/>
    <m/>
    <m/>
    <m/>
    <m/>
    <m/>
    <m/>
    <m/>
    <m/>
    <m/>
    <m/>
  </r>
  <r>
    <x v="13"/>
    <s v="Eastfield College (DCCCD)"/>
    <m/>
    <n v="224572"/>
    <x v="6"/>
    <n v="224080"/>
    <n v="240809"/>
    <n v="171023"/>
    <n v="174704"/>
    <n v="0"/>
    <n v="0"/>
    <n v="52613"/>
    <n v="0"/>
    <n v="444"/>
    <n v="65714"/>
    <n v="0"/>
    <n v="391"/>
    <m/>
    <m/>
    <n v="0"/>
    <n v="0"/>
    <m/>
    <m/>
    <m/>
    <m/>
    <m/>
    <m/>
    <m/>
    <m/>
    <m/>
    <m/>
    <m/>
    <m/>
  </r>
  <r>
    <x v="13"/>
    <s v="El Centro College  (DCCCD)"/>
    <m/>
    <n v="224615"/>
    <x v="6"/>
    <n v="171269"/>
    <n v="189982"/>
    <n v="131698"/>
    <n v="143386"/>
    <n v="0"/>
    <n v="396"/>
    <n v="39280"/>
    <n v="0"/>
    <n v="291"/>
    <n v="45993"/>
    <n v="0"/>
    <n v="207"/>
    <m/>
    <m/>
    <n v="0"/>
    <n v="0"/>
    <m/>
    <m/>
    <m/>
    <m/>
    <m/>
    <m/>
    <m/>
    <m/>
    <m/>
    <m/>
    <m/>
    <m/>
  </r>
  <r>
    <x v="13"/>
    <s v="El Paso County Community College District"/>
    <m/>
    <n v="224642"/>
    <x v="6"/>
    <n v="562559"/>
    <n v="582326"/>
    <n v="519506"/>
    <n v="532206"/>
    <n v="0"/>
    <n v="756"/>
    <n v="39987"/>
    <n v="669"/>
    <n v="2397"/>
    <n v="47699"/>
    <n v="609"/>
    <n v="1056"/>
    <m/>
    <m/>
    <n v="0"/>
    <n v="0"/>
    <m/>
    <m/>
    <m/>
    <m/>
    <m/>
    <m/>
    <m/>
    <m/>
    <m/>
    <m/>
    <m/>
    <m/>
  </r>
  <r>
    <x v="13"/>
    <s v="Houston Community College"/>
    <m/>
    <n v="225423"/>
    <x v="6"/>
    <n v="1158629"/>
    <n v="1183888"/>
    <n v="730109"/>
    <n v="719731"/>
    <n v="208557"/>
    <n v="210567"/>
    <n v="219483"/>
    <n v="0"/>
    <n v="480"/>
    <n v="253166"/>
    <n v="0"/>
    <n v="424"/>
    <m/>
    <m/>
    <n v="0"/>
    <n v="0"/>
    <m/>
    <m/>
    <m/>
    <m/>
    <m/>
    <m/>
    <m/>
    <m/>
    <m/>
    <m/>
    <m/>
    <m/>
  </r>
  <r>
    <x v="13"/>
    <s v="Kilgore College "/>
    <s v="Reclassified: Met criteria for Two-Year 1 in 2009-10, 2010-11 and 2011-12."/>
    <n v="226019"/>
    <x v="6"/>
    <n v="146522"/>
    <n v="143080"/>
    <n v="91390"/>
    <n v="86688"/>
    <n v="35507"/>
    <n v="36858"/>
    <n v="18361"/>
    <n v="1264"/>
    <n v="0"/>
    <n v="19534"/>
    <n v="0"/>
    <n v="0"/>
    <m/>
    <m/>
    <n v="0"/>
    <n v="0"/>
    <m/>
    <m/>
    <m/>
    <m/>
    <m/>
    <m/>
    <m/>
    <m/>
    <m/>
    <m/>
    <m/>
    <m/>
  </r>
  <r>
    <x v="13"/>
    <s v="Laredo Community College "/>
    <m/>
    <n v="226134"/>
    <x v="6"/>
    <n v="190762"/>
    <n v="189535"/>
    <n v="164637"/>
    <n v="161229"/>
    <n v="0"/>
    <n v="1458"/>
    <n v="25981"/>
    <n v="144"/>
    <n v="0"/>
    <n v="26281"/>
    <n v="567"/>
    <n v="0"/>
    <m/>
    <m/>
    <n v="0"/>
    <n v="0"/>
    <m/>
    <m/>
    <m/>
    <m/>
    <m/>
    <m/>
    <m/>
    <m/>
    <m/>
    <m/>
    <m/>
    <m/>
  </r>
  <r>
    <x v="13"/>
    <s v="Lone Star College System District"/>
    <m/>
    <n v="227182"/>
    <x v="6"/>
    <n v="1101211"/>
    <n v="1153821"/>
    <n v="897457"/>
    <n v="887196"/>
    <n v="1849"/>
    <n v="27885"/>
    <n v="199783"/>
    <n v="0"/>
    <n v="2122"/>
    <n v="238655"/>
    <n v="0"/>
    <n v="85"/>
    <m/>
    <m/>
    <n v="0"/>
    <n v="0"/>
    <m/>
    <m/>
    <m/>
    <m/>
    <m/>
    <m/>
    <m/>
    <m/>
    <m/>
    <m/>
    <m/>
    <m/>
  </r>
  <r>
    <x v="13"/>
    <s v="McLennan Community College "/>
    <m/>
    <n v="226578"/>
    <x v="6"/>
    <n v="217294"/>
    <n v="225412"/>
    <n v="162240"/>
    <n v="165015"/>
    <n v="15"/>
    <n v="15"/>
    <n v="54387"/>
    <n v="652"/>
    <n v="0"/>
    <n v="59520"/>
    <n v="862"/>
    <n v="0"/>
    <m/>
    <m/>
    <n v="0"/>
    <n v="0"/>
    <m/>
    <m/>
    <m/>
    <m/>
    <m/>
    <m/>
    <m/>
    <m/>
    <m/>
    <m/>
    <m/>
    <m/>
  </r>
  <r>
    <x v="13"/>
    <s v="Navarro College "/>
    <m/>
    <n v="227146"/>
    <x v="6"/>
    <n v="233297"/>
    <n v="246587"/>
    <n v="77375"/>
    <n v="80758"/>
    <n v="90051"/>
    <n v="94975"/>
    <n v="61700"/>
    <n v="30"/>
    <n v="4141"/>
    <n v="67642"/>
    <n v="55"/>
    <n v="3157"/>
    <m/>
    <m/>
    <n v="0"/>
    <n v="0"/>
    <m/>
    <m/>
    <m/>
    <m/>
    <m/>
    <m/>
    <m/>
    <m/>
    <m/>
    <m/>
    <m/>
    <m/>
  </r>
  <r>
    <x v="13"/>
    <s v="North Central Texas Community College"/>
    <m/>
    <n v="224110"/>
    <x v="6"/>
    <n v="177108"/>
    <n v="185792"/>
    <n v="32443"/>
    <n v="31660"/>
    <n v="115132"/>
    <n v="128889"/>
    <n v="28266"/>
    <n v="219"/>
    <n v="1048"/>
    <n v="24256"/>
    <n v="21"/>
    <n v="966"/>
    <m/>
    <m/>
    <n v="0"/>
    <n v="0"/>
    <m/>
    <m/>
    <m/>
    <m/>
    <m/>
    <m/>
    <m/>
    <m/>
    <m/>
    <m/>
    <m/>
    <m/>
  </r>
  <r>
    <x v="13"/>
    <s v="North Lake College (DCCCD)"/>
    <m/>
    <n v="227191"/>
    <x v="6"/>
    <n v="205951"/>
    <n v="200661"/>
    <n v="154828"/>
    <n v="145362"/>
    <n v="3514"/>
    <n v="1827"/>
    <n v="47477"/>
    <n v="0"/>
    <n v="132"/>
    <n v="53364"/>
    <n v="0"/>
    <n v="108"/>
    <m/>
    <m/>
    <n v="0"/>
    <n v="0"/>
    <m/>
    <m/>
    <m/>
    <m/>
    <m/>
    <m/>
    <m/>
    <m/>
    <m/>
    <m/>
    <m/>
    <m/>
  </r>
  <r>
    <x v="13"/>
    <s v="Northwest Vista College (ACCD)"/>
    <m/>
    <n v="420398"/>
    <x v="6"/>
    <n v="295874"/>
    <n v="295974"/>
    <n v="267567"/>
    <n v="254345"/>
    <n v="0"/>
    <n v="11515"/>
    <n v="26262"/>
    <n v="0"/>
    <n v="2045"/>
    <n v="28227"/>
    <n v="0"/>
    <n v="1887"/>
    <m/>
    <m/>
    <n v="0"/>
    <n v="0"/>
    <m/>
    <m/>
    <m/>
    <m/>
    <m/>
    <m/>
    <m/>
    <m/>
    <m/>
    <m/>
    <m/>
    <m/>
  </r>
  <r>
    <x v="13"/>
    <s v="Palo Alto College (ACCD)"/>
    <m/>
    <n v="246354"/>
    <x v="6"/>
    <n v="165105"/>
    <n v="166284"/>
    <n v="134898"/>
    <n v="122662"/>
    <n v="93"/>
    <n v="5427"/>
    <n v="27177"/>
    <n v="1035"/>
    <n v="1902"/>
    <n v="35730"/>
    <n v="0"/>
    <n v="2465"/>
    <m/>
    <m/>
    <n v="0"/>
    <n v="0"/>
    <m/>
    <m/>
    <m/>
    <m/>
    <m/>
    <m/>
    <m/>
    <m/>
    <m/>
    <m/>
    <m/>
    <m/>
  </r>
  <r>
    <x v="13"/>
    <s v="Richland College (DCCCD)"/>
    <m/>
    <n v="227766"/>
    <x v="6"/>
    <n v="350074"/>
    <n v="352162"/>
    <n v="258961"/>
    <n v="257678"/>
    <n v="0"/>
    <n v="92"/>
    <n v="91113"/>
    <n v="0"/>
    <n v="0"/>
    <n v="94392"/>
    <n v="0"/>
    <n v="0"/>
    <m/>
    <m/>
    <n v="0"/>
    <n v="0"/>
    <m/>
    <m/>
    <m/>
    <m/>
    <m/>
    <m/>
    <m/>
    <m/>
    <m/>
    <m/>
    <m/>
    <m/>
  </r>
  <r>
    <x v="13"/>
    <s v="San Antonio College (ACCD)"/>
    <m/>
    <n v="227924"/>
    <x v="6"/>
    <n v="501465"/>
    <n v="498564"/>
    <n v="428816"/>
    <n v="429331"/>
    <n v="3658"/>
    <n v="8615"/>
    <n v="65514"/>
    <n v="0"/>
    <n v="3477"/>
    <n v="56874"/>
    <n v="0"/>
    <n v="3744"/>
    <m/>
    <m/>
    <n v="0"/>
    <n v="0"/>
    <m/>
    <m/>
    <m/>
    <m/>
    <m/>
    <m/>
    <m/>
    <m/>
    <m/>
    <m/>
    <m/>
    <m/>
  </r>
  <r>
    <x v="13"/>
    <s v="San Jacinto College"/>
    <m/>
    <n v="227979"/>
    <x v="6"/>
    <n v="575097"/>
    <n v="600397"/>
    <n v="489108"/>
    <n v="479001"/>
    <n v="11218"/>
    <n v="10817"/>
    <n v="74372"/>
    <n v="399"/>
    <n v="0"/>
    <n v="110382"/>
    <n v="197"/>
    <n v="0"/>
    <m/>
    <m/>
    <n v="0"/>
    <n v="0"/>
    <m/>
    <m/>
    <m/>
    <m/>
    <m/>
    <m/>
    <m/>
    <m/>
    <m/>
    <m/>
    <m/>
    <m/>
  </r>
  <r>
    <x v="13"/>
    <s v="South Plains College "/>
    <m/>
    <n v="228158"/>
    <x v="6"/>
    <n v="217039"/>
    <n v="219143"/>
    <n v="94485"/>
    <n v="92008"/>
    <n v="84031"/>
    <n v="87807"/>
    <n v="31816"/>
    <n v="3245"/>
    <n v="3462"/>
    <n v="33425"/>
    <n v="2986"/>
    <n v="2917"/>
    <m/>
    <m/>
    <n v="0"/>
    <n v="0"/>
    <m/>
    <m/>
    <m/>
    <m/>
    <m/>
    <m/>
    <m/>
    <m/>
    <m/>
    <m/>
    <m/>
    <m/>
  </r>
  <r>
    <x v="13"/>
    <s v="St. Philip's College (ACCD)"/>
    <m/>
    <n v="227854"/>
    <x v="6"/>
    <n v="218515"/>
    <n v="198581"/>
    <n v="183707"/>
    <n v="169002"/>
    <n v="1414"/>
    <n v="5984"/>
    <n v="31378"/>
    <n v="0"/>
    <n v="2016"/>
    <n v="22694"/>
    <n v="0"/>
    <n v="901"/>
    <m/>
    <m/>
    <n v="0"/>
    <n v="0"/>
    <m/>
    <m/>
    <m/>
    <m/>
    <m/>
    <m/>
    <m/>
    <m/>
    <m/>
    <m/>
    <m/>
    <m/>
  </r>
  <r>
    <x v="13"/>
    <s v="Tarrant County College"/>
    <m/>
    <n v="228547"/>
    <x v="6"/>
    <n v="968654"/>
    <n v="972659"/>
    <n v="797438"/>
    <n v="779370"/>
    <n v="222"/>
    <n v="16541"/>
    <n v="146199"/>
    <n v="0"/>
    <n v="24795"/>
    <n v="154554"/>
    <n v="0"/>
    <n v="22194"/>
    <m/>
    <m/>
    <n v="0"/>
    <n v="0"/>
    <m/>
    <m/>
    <m/>
    <m/>
    <m/>
    <m/>
    <m/>
    <m/>
    <m/>
    <m/>
    <m/>
    <m/>
  </r>
  <r>
    <x v="13"/>
    <s v="Texas Southmost College "/>
    <m/>
    <n v="229072"/>
    <x v="6"/>
    <n v="190606"/>
    <n v="193366"/>
    <n v="178372"/>
    <n v="180660"/>
    <n v="3997"/>
    <n v="2953"/>
    <n v="8237"/>
    <n v="0"/>
    <n v="0"/>
    <n v="9753"/>
    <n v="0"/>
    <n v="0"/>
    <m/>
    <m/>
    <n v="0"/>
    <n v="0"/>
    <m/>
    <m/>
    <m/>
    <m/>
    <m/>
    <m/>
    <m/>
    <m/>
    <m/>
    <m/>
    <m/>
    <m/>
  </r>
  <r>
    <x v="13"/>
    <s v="Texas State Technical College-Waco"/>
    <s v="Reclassified: Met criteria for Two-Year 1 in 2009-10, 2010-11 and 2011-12."/>
    <n v="228680"/>
    <x v="6"/>
    <n v="163434"/>
    <n v="152796"/>
    <n v="143272"/>
    <n v="137303"/>
    <n v="8499"/>
    <n v="6521"/>
    <n v="11663"/>
    <n v="0"/>
    <n v="0"/>
    <n v="8972"/>
    <n v="0"/>
    <n v="0"/>
    <m/>
    <m/>
    <n v="0"/>
    <n v="0"/>
    <m/>
    <m/>
    <m/>
    <m/>
    <m/>
    <m/>
    <m/>
    <m/>
    <m/>
    <m/>
    <m/>
    <m/>
  </r>
  <r>
    <x v="13"/>
    <s v="Trinity Valley Community College"/>
    <s v="Reclassified: Met criteria for Two-Year 1 in 2009-10, 2010-11 and 2011-12."/>
    <n v="225308"/>
    <x v="6"/>
    <n v="166114"/>
    <n v="167830"/>
    <n v="94853"/>
    <n v="95900"/>
    <n v="43587"/>
    <n v="42624"/>
    <n v="26840"/>
    <n v="834"/>
    <n v="0"/>
    <n v="29159"/>
    <n v="147"/>
    <n v="0"/>
    <m/>
    <m/>
    <n v="0"/>
    <n v="0"/>
    <m/>
    <m/>
    <m/>
    <m/>
    <m/>
    <m/>
    <m/>
    <m/>
    <m/>
    <m/>
    <m/>
    <m/>
  </r>
  <r>
    <x v="13"/>
    <s v="Tyler Junior College "/>
    <m/>
    <n v="229355"/>
    <x v="6"/>
    <n v="259168"/>
    <n v="259782"/>
    <n v="206336"/>
    <n v="186994"/>
    <n v="0"/>
    <n v="1355"/>
    <n v="51977"/>
    <n v="0"/>
    <n v="855"/>
    <n v="71085"/>
    <n v="0"/>
    <n v="348"/>
    <m/>
    <m/>
    <n v="0"/>
    <n v="0"/>
    <m/>
    <m/>
    <m/>
    <m/>
    <m/>
    <m/>
    <m/>
    <m/>
    <m/>
    <m/>
    <m/>
    <m/>
  </r>
  <r>
    <x v="13"/>
    <s v="Alvin Community College "/>
    <m/>
    <n v="222567"/>
    <x v="7"/>
    <n v="111467"/>
    <n v="106578"/>
    <n v="93297"/>
    <n v="88842"/>
    <n v="18170"/>
    <n v="17736"/>
    <n v="0"/>
    <n v="0"/>
    <n v="0"/>
    <n v="0"/>
    <n v="0"/>
    <n v="0"/>
    <m/>
    <m/>
    <n v="0"/>
    <n v="0"/>
    <m/>
    <m/>
    <m/>
    <m/>
    <m/>
    <m/>
    <m/>
    <m/>
    <m/>
    <m/>
    <m/>
    <m/>
  </r>
  <r>
    <x v="13"/>
    <s v="Angelina College "/>
    <m/>
    <n v="222822"/>
    <x v="7"/>
    <n v="114278"/>
    <n v="113896"/>
    <n v="79774"/>
    <n v="72306"/>
    <n v="13147"/>
    <n v="13237"/>
    <n v="14636"/>
    <n v="6676"/>
    <n v="45"/>
    <n v="20104"/>
    <n v="8189"/>
    <n v="60"/>
    <m/>
    <m/>
    <n v="0"/>
    <n v="0"/>
    <m/>
    <m/>
    <m/>
    <m/>
    <m/>
    <m/>
    <m/>
    <m/>
    <m/>
    <m/>
    <m/>
    <m/>
  </r>
  <r>
    <x v="13"/>
    <s v="Cedar Valley College (DCCCD)"/>
    <m/>
    <n v="223773"/>
    <x v="7"/>
    <n v="110642"/>
    <n v="111968"/>
    <n v="73303"/>
    <n v="71640"/>
    <n v="1243"/>
    <n v="1572"/>
    <n v="36096"/>
    <n v="0"/>
    <n v="0"/>
    <n v="38756"/>
    <n v="0"/>
    <n v="0"/>
    <m/>
    <m/>
    <n v="0"/>
    <n v="0"/>
    <m/>
    <m/>
    <m/>
    <m/>
    <m/>
    <m/>
    <m/>
    <m/>
    <m/>
    <m/>
    <m/>
    <m/>
  </r>
  <r>
    <x v="13"/>
    <s v="Cisco Junior College "/>
    <m/>
    <n v="223898"/>
    <x v="7"/>
    <n v="95299"/>
    <n v="94568"/>
    <n v="16291"/>
    <n v="15015"/>
    <n v="58548"/>
    <n v="56714"/>
    <n v="19398"/>
    <n v="1062"/>
    <n v="0"/>
    <n v="21567"/>
    <n v="1272"/>
    <n v="0"/>
    <m/>
    <m/>
    <n v="0"/>
    <n v="0"/>
    <m/>
    <m/>
    <m/>
    <m/>
    <m/>
    <m/>
    <m/>
    <m/>
    <m/>
    <m/>
    <m/>
    <m/>
  </r>
  <r>
    <x v="13"/>
    <s v="Coastal Bend College"/>
    <m/>
    <n v="223320"/>
    <x v="7"/>
    <n v="85421"/>
    <n v="79616"/>
    <n v="25762"/>
    <n v="22969"/>
    <n v="38577"/>
    <n v="35841"/>
    <n v="13890"/>
    <n v="5669"/>
    <n v="1523"/>
    <n v="13390"/>
    <n v="4902"/>
    <n v="2514"/>
    <m/>
    <m/>
    <n v="0"/>
    <n v="0"/>
    <m/>
    <m/>
    <m/>
    <m/>
    <m/>
    <m/>
    <m/>
    <m/>
    <m/>
    <m/>
    <m/>
    <m/>
  </r>
  <r>
    <x v="13"/>
    <s v="College of the Mainland"/>
    <m/>
    <n v="226408"/>
    <x v="7"/>
    <n v="87748"/>
    <n v="87306"/>
    <n v="81099"/>
    <n v="80631"/>
    <n v="6649"/>
    <n v="6675"/>
    <n v="0"/>
    <n v="0"/>
    <n v="0"/>
    <n v="0"/>
    <n v="0"/>
    <n v="0"/>
    <m/>
    <m/>
    <n v="0"/>
    <n v="0"/>
    <m/>
    <m/>
    <m/>
    <m/>
    <m/>
    <m/>
    <m/>
    <m/>
    <m/>
    <m/>
    <m/>
    <m/>
  </r>
  <r>
    <x v="13"/>
    <s v="Grayson County College "/>
    <m/>
    <n v="225070"/>
    <x v="7"/>
    <n v="111874"/>
    <n v="116342"/>
    <n v="82611"/>
    <n v="78792"/>
    <n v="730"/>
    <n v="2249"/>
    <n v="26745"/>
    <n v="0"/>
    <n v="1788"/>
    <n v="33174"/>
    <n v="0"/>
    <n v="2127"/>
    <m/>
    <m/>
    <n v="0"/>
    <n v="0"/>
    <m/>
    <m/>
    <m/>
    <m/>
    <m/>
    <m/>
    <m/>
    <m/>
    <m/>
    <m/>
    <m/>
    <m/>
  </r>
  <r>
    <x v="13"/>
    <s v="Hill College"/>
    <m/>
    <n v="225371"/>
    <x v="7"/>
    <n v="98493"/>
    <n v="94640"/>
    <n v="19574"/>
    <n v="20672"/>
    <n v="45049"/>
    <n v="40614"/>
    <n v="31491"/>
    <n v="2379"/>
    <n v="0"/>
    <n v="31389"/>
    <n v="1965"/>
    <n v="0"/>
    <m/>
    <m/>
    <n v="0"/>
    <n v="0"/>
    <m/>
    <m/>
    <m/>
    <m/>
    <m/>
    <m/>
    <m/>
    <m/>
    <m/>
    <m/>
    <m/>
    <m/>
  </r>
  <r>
    <x v="13"/>
    <s v="Howard College (HCJCD)"/>
    <m/>
    <n v="225520"/>
    <x v="7"/>
    <n v="82912"/>
    <n v="87037"/>
    <n v="21725"/>
    <n v="19185"/>
    <n v="39096"/>
    <n v="38301"/>
    <n v="18986"/>
    <n v="3027"/>
    <n v="78"/>
    <n v="24526"/>
    <n v="4773"/>
    <n v="252"/>
    <m/>
    <m/>
    <n v="0"/>
    <n v="0"/>
    <m/>
    <m/>
    <m/>
    <m/>
    <m/>
    <m/>
    <m/>
    <m/>
    <m/>
    <m/>
    <m/>
    <m/>
  </r>
  <r>
    <x v="13"/>
    <s v="Lamar Institute of Technology"/>
    <m/>
    <n v="441760"/>
    <x v="7"/>
    <n v="67440"/>
    <n v="64380"/>
    <n v="60976"/>
    <n v="60737"/>
    <n v="2280"/>
    <n v="1462"/>
    <n v="4109"/>
    <n v="75"/>
    <n v="0"/>
    <n v="2136"/>
    <n v="45"/>
    <n v="0"/>
    <m/>
    <m/>
    <n v="0"/>
    <n v="0"/>
    <m/>
    <m/>
    <m/>
    <m/>
    <m/>
    <m/>
    <m/>
    <m/>
    <m/>
    <m/>
    <m/>
    <m/>
  </r>
  <r>
    <x v="13"/>
    <s v="Lee College "/>
    <m/>
    <n v="226204"/>
    <x v="7"/>
    <n v="143743"/>
    <n v="140128"/>
    <n v="112426"/>
    <n v="108264"/>
    <n v="20242"/>
    <n v="16754"/>
    <n v="6297"/>
    <n v="0"/>
    <n v="4778"/>
    <n v="14790"/>
    <n v="0"/>
    <n v="320"/>
    <m/>
    <m/>
    <n v="0"/>
    <n v="0"/>
    <m/>
    <m/>
    <m/>
    <m/>
    <m/>
    <m/>
    <m/>
    <m/>
    <m/>
    <m/>
    <m/>
    <m/>
  </r>
  <r>
    <x v="13"/>
    <s v="Mountain View College  (DCCCD)"/>
    <s v="Met the criteria for Two-Year 1 in 2010-11 amd 2011-12."/>
    <n v="226930"/>
    <x v="7"/>
    <n v="146353"/>
    <n v="146492"/>
    <n v="115141"/>
    <n v="111995"/>
    <n v="0"/>
    <n v="0"/>
    <n v="31212"/>
    <n v="0"/>
    <n v="0"/>
    <n v="34497"/>
    <n v="0"/>
    <n v="0"/>
    <m/>
    <m/>
    <n v="0"/>
    <n v="0"/>
    <m/>
    <m/>
    <m/>
    <m/>
    <m/>
    <m/>
    <m/>
    <m/>
    <m/>
    <m/>
    <m/>
    <m/>
  </r>
  <r>
    <x v="13"/>
    <s v="Northeast Texas Community College "/>
    <s v="Reclassified: Met criteria for Two-Year 2 in 2009-10, 2010-11 and 2011-12."/>
    <n v="227225"/>
    <x v="7"/>
    <n v="69750"/>
    <n v="72602"/>
    <n v="58103"/>
    <n v="54188"/>
    <n v="1080"/>
    <n v="1129"/>
    <n v="10420"/>
    <n v="54"/>
    <n v="93"/>
    <n v="17027"/>
    <n v="258"/>
    <n v="0"/>
    <m/>
    <m/>
    <n v="0"/>
    <n v="0"/>
    <m/>
    <m/>
    <m/>
    <m/>
    <m/>
    <m/>
    <m/>
    <m/>
    <m/>
    <m/>
    <m/>
    <m/>
  </r>
  <r>
    <x v="13"/>
    <s v="Odessa College "/>
    <m/>
    <n v="227304"/>
    <x v="7"/>
    <n v="100803"/>
    <n v="98768"/>
    <n v="64766"/>
    <n v="59110"/>
    <n v="6608"/>
    <n v="6877"/>
    <n v="29429"/>
    <n v="0"/>
    <n v="0"/>
    <n v="32466"/>
    <n v="315"/>
    <n v="0"/>
    <m/>
    <m/>
    <n v="0"/>
    <n v="0"/>
    <m/>
    <m/>
    <m/>
    <m/>
    <m/>
    <m/>
    <m/>
    <m/>
    <m/>
    <m/>
    <m/>
    <m/>
  </r>
  <r>
    <x v="13"/>
    <s v="Paris Junior College"/>
    <m/>
    <n v="227401"/>
    <x v="7"/>
    <n v="131831"/>
    <n v="131884"/>
    <n v="54350"/>
    <n v="50395"/>
    <n v="43436"/>
    <n v="41866"/>
    <n v="30541"/>
    <n v="3504"/>
    <n v="0"/>
    <n v="36365"/>
    <n v="3258"/>
    <n v="0"/>
    <m/>
    <m/>
    <n v="0"/>
    <n v="0"/>
    <m/>
    <m/>
    <m/>
    <m/>
    <m/>
    <m/>
    <m/>
    <m/>
    <m/>
    <m/>
    <m/>
    <m/>
  </r>
  <r>
    <x v="13"/>
    <s v="Southwest Texas Junior College "/>
    <m/>
    <n v="228316"/>
    <x v="7"/>
    <n v="118563"/>
    <n v="111605"/>
    <n v="34470"/>
    <n v="31767"/>
    <n v="55135"/>
    <n v="52200"/>
    <n v="9453"/>
    <n v="19505"/>
    <n v="0"/>
    <n v="9529"/>
    <n v="18109"/>
    <n v="0"/>
    <m/>
    <m/>
    <n v="0"/>
    <n v="0"/>
    <m/>
    <m/>
    <m/>
    <m/>
    <m/>
    <m/>
    <m/>
    <m/>
    <m/>
    <m/>
    <m/>
    <m/>
  </r>
  <r>
    <x v="13"/>
    <s v="Temple College "/>
    <m/>
    <n v="228608"/>
    <x v="7"/>
    <n v="122171"/>
    <n v="121557"/>
    <n v="72437"/>
    <n v="68990"/>
    <n v="19413"/>
    <n v="16971"/>
    <n v="30309"/>
    <n v="12"/>
    <n v="0"/>
    <n v="35556"/>
    <n v="40"/>
    <n v="0"/>
    <m/>
    <m/>
    <n v="0"/>
    <n v="0"/>
    <m/>
    <m/>
    <m/>
    <m/>
    <m/>
    <m/>
    <m/>
    <m/>
    <m/>
    <m/>
    <m/>
    <m/>
  </r>
  <r>
    <x v="13"/>
    <s v="Texarkana College "/>
    <m/>
    <n v="228699"/>
    <x v="7"/>
    <n v="94976"/>
    <n v="87487"/>
    <n v="79221"/>
    <n v="72119"/>
    <n v="9444"/>
    <n v="9863"/>
    <n v="6263"/>
    <n v="45"/>
    <n v="3"/>
    <n v="5478"/>
    <n v="0"/>
    <n v="27"/>
    <m/>
    <m/>
    <n v="0"/>
    <n v="0"/>
    <m/>
    <m/>
    <m/>
    <m/>
    <m/>
    <m/>
    <m/>
    <m/>
    <m/>
    <m/>
    <m/>
    <m/>
  </r>
  <r>
    <x v="13"/>
    <s v="Texas State Technical College-Harlingen "/>
    <m/>
    <n v="229319"/>
    <x v="7"/>
    <n v="136009"/>
    <n v="130391"/>
    <n v="118614"/>
    <n v="112274"/>
    <n v="5614"/>
    <n v="3901"/>
    <n v="10659"/>
    <n v="1122"/>
    <n v="0"/>
    <n v="13622"/>
    <n v="594"/>
    <n v="0"/>
    <m/>
    <m/>
    <n v="0"/>
    <n v="0"/>
    <m/>
    <m/>
    <m/>
    <m/>
    <m/>
    <m/>
    <m/>
    <m/>
    <m/>
    <m/>
    <m/>
    <m/>
  </r>
  <r>
    <x v="13"/>
    <s v="Vernon College "/>
    <m/>
    <n v="229504"/>
    <x v="7"/>
    <n v="67813"/>
    <n v="67579"/>
    <n v="9311"/>
    <n v="9555"/>
    <n v="31700"/>
    <n v="32035"/>
    <n v="20532"/>
    <n v="6270"/>
    <n v="0"/>
    <n v="19314"/>
    <n v="6675"/>
    <n v="0"/>
    <m/>
    <m/>
    <n v="0"/>
    <n v="0"/>
    <m/>
    <m/>
    <m/>
    <m/>
    <m/>
    <m/>
    <m/>
    <m/>
    <m/>
    <m/>
    <m/>
    <m/>
  </r>
  <r>
    <x v="13"/>
    <s v="Victoria College "/>
    <m/>
    <n v="229540"/>
    <x v="7"/>
    <n v="81880"/>
    <n v="85982"/>
    <n v="55839"/>
    <n v="56496"/>
    <n v="5672"/>
    <n v="5620"/>
    <n v="16617"/>
    <n v="3752"/>
    <n v="0"/>
    <n v="20026"/>
    <n v="3791"/>
    <n v="49"/>
    <m/>
    <m/>
    <n v="0"/>
    <n v="0"/>
    <m/>
    <m/>
    <m/>
    <m/>
    <m/>
    <m/>
    <m/>
    <m/>
    <m/>
    <m/>
    <m/>
    <m/>
  </r>
  <r>
    <x v="13"/>
    <s v="Weatherford College "/>
    <m/>
    <n v="229799"/>
    <x v="7"/>
    <n v="116501"/>
    <n v="115097"/>
    <n v="83333"/>
    <n v="74383"/>
    <n v="12257"/>
    <n v="12841"/>
    <n v="20575"/>
    <n v="336"/>
    <n v="0"/>
    <n v="25791"/>
    <n v="2082"/>
    <n v="0"/>
    <m/>
    <m/>
    <n v="0"/>
    <n v="0"/>
    <m/>
    <m/>
    <m/>
    <m/>
    <m/>
    <m/>
    <m/>
    <m/>
    <m/>
    <m/>
    <m/>
    <m/>
  </r>
  <r>
    <x v="13"/>
    <s v="Wharton County Junior College "/>
    <m/>
    <n v="229841"/>
    <x v="7"/>
    <n v="145528"/>
    <n v="147021"/>
    <n v="48270"/>
    <n v="44106"/>
    <n v="75606"/>
    <n v="79773"/>
    <n v="18772"/>
    <n v="2880"/>
    <n v="0"/>
    <n v="20481"/>
    <n v="2661"/>
    <n v="0"/>
    <m/>
    <m/>
    <n v="0"/>
    <n v="0"/>
    <m/>
    <m/>
    <m/>
    <m/>
    <m/>
    <m/>
    <m/>
    <m/>
    <m/>
    <m/>
    <m/>
    <m/>
  </r>
  <r>
    <x v="13"/>
    <s v="Clarendon College "/>
    <m/>
    <n v="223922"/>
    <x v="8"/>
    <n v="35116"/>
    <n v="34696"/>
    <n v="11447"/>
    <n v="11028"/>
    <n v="14515"/>
    <n v="13298"/>
    <n v="8487"/>
    <n v="654"/>
    <n v="13"/>
    <n v="9736"/>
    <n v="634"/>
    <n v="0"/>
    <m/>
    <m/>
    <n v="0"/>
    <n v="0"/>
    <m/>
    <m/>
    <m/>
    <m/>
    <m/>
    <m/>
    <m/>
    <m/>
    <m/>
    <m/>
    <m/>
    <m/>
  </r>
  <r>
    <x v="13"/>
    <s v="Frank Phillips College "/>
    <m/>
    <n v="224891"/>
    <x v="8"/>
    <n v="25567"/>
    <n v="22512"/>
    <n v="19199"/>
    <n v="16689"/>
    <n v="1479"/>
    <n v="1635"/>
    <n v="1989"/>
    <n v="0"/>
    <n v="2900"/>
    <n v="1408"/>
    <n v="0"/>
    <n v="2780"/>
    <m/>
    <m/>
    <n v="0"/>
    <n v="0"/>
    <m/>
    <m/>
    <m/>
    <m/>
    <m/>
    <m/>
    <m/>
    <m/>
    <m/>
    <m/>
    <m/>
    <m/>
  </r>
  <r>
    <x v="13"/>
    <s v="Galveston College "/>
    <m/>
    <n v="224961"/>
    <x v="8"/>
    <n v="46278"/>
    <n v="47892"/>
    <n v="45591"/>
    <n v="47375"/>
    <n v="305"/>
    <n v="421"/>
    <n v="382"/>
    <n v="0"/>
    <n v="0"/>
    <n v="0"/>
    <n v="0"/>
    <n v="96"/>
    <m/>
    <m/>
    <n v="0"/>
    <n v="0"/>
    <m/>
    <m/>
    <m/>
    <m/>
    <m/>
    <m/>
    <m/>
    <m/>
    <m/>
    <m/>
    <m/>
    <m/>
  </r>
  <r>
    <x v="13"/>
    <s v="Lamar State College-Orange"/>
    <m/>
    <n v="226107"/>
    <x v="8"/>
    <n v="53594"/>
    <n v="56026"/>
    <n v="47495"/>
    <n v="50964"/>
    <n v="0"/>
    <n v="0"/>
    <n v="6099"/>
    <n v="0"/>
    <n v="0"/>
    <n v="5020"/>
    <n v="42"/>
    <n v="0"/>
    <m/>
    <m/>
    <n v="0"/>
    <n v="0"/>
    <m/>
    <m/>
    <m/>
    <m/>
    <m/>
    <m/>
    <m/>
    <m/>
    <m/>
    <m/>
    <m/>
    <m/>
  </r>
  <r>
    <x v="13"/>
    <s v="Lamar State College-Port Arthur"/>
    <s v="Met the criteria for Two-Year 2 in 2010-11 and 2011-12."/>
    <n v="226116"/>
    <x v="8"/>
    <n v="50934"/>
    <n v="59265"/>
    <n v="40162"/>
    <n v="40622"/>
    <n v="5413"/>
    <n v="5436"/>
    <n v="5359"/>
    <n v="0"/>
    <n v="0"/>
    <n v="13207"/>
    <n v="0"/>
    <n v="0"/>
    <m/>
    <m/>
    <n v="0"/>
    <n v="0"/>
    <m/>
    <m/>
    <m/>
    <m/>
    <m/>
    <m/>
    <m/>
    <m/>
    <m/>
    <m/>
    <m/>
    <m/>
  </r>
  <r>
    <x v="13"/>
    <s v="Northeast Lakeview College (ACCD)"/>
    <m/>
    <s v="???"/>
    <x v="8"/>
    <n v="13983"/>
    <n v="13926"/>
    <n v="13281"/>
    <n v="13926"/>
    <n v="0"/>
    <n v="0"/>
    <n v="702"/>
    <n v="0"/>
    <n v="0"/>
    <n v="0"/>
    <n v="0"/>
    <n v="0"/>
    <m/>
    <m/>
    <n v="0"/>
    <n v="0"/>
    <m/>
    <m/>
    <m/>
    <m/>
    <m/>
    <m/>
    <m/>
    <m/>
    <m/>
    <m/>
    <m/>
    <m/>
  </r>
  <r>
    <x v="13"/>
    <s v="Panola College"/>
    <m/>
    <n v="227386"/>
    <x v="8"/>
    <n v="47697"/>
    <n v="51046"/>
    <n v="25964"/>
    <n v="26443"/>
    <n v="8198"/>
    <n v="8014"/>
    <n v="12025"/>
    <n v="1510"/>
    <n v="0"/>
    <n v="15623"/>
    <n v="966"/>
    <n v="0"/>
    <m/>
    <m/>
    <n v="0"/>
    <n v="0"/>
    <m/>
    <m/>
    <m/>
    <m/>
    <m/>
    <m/>
    <m/>
    <m/>
    <m/>
    <m/>
    <m/>
    <m/>
  </r>
  <r>
    <x v="13"/>
    <s v="Ranger College "/>
    <m/>
    <n v="227687"/>
    <x v="8"/>
    <n v="26592"/>
    <n v="34840"/>
    <n v="11005"/>
    <n v="11537"/>
    <n v="10096"/>
    <n v="14855"/>
    <n v="3932"/>
    <n v="1493"/>
    <n v="66"/>
    <n v="6288"/>
    <n v="2022"/>
    <n v="138"/>
    <m/>
    <m/>
    <n v="0"/>
    <n v="0"/>
    <m/>
    <m/>
    <m/>
    <m/>
    <m/>
    <m/>
    <m/>
    <m/>
    <m/>
    <m/>
    <m/>
    <m/>
  </r>
  <r>
    <x v="13"/>
    <s v="Southwest Collegiate Institute for the Deaf (HCJCD)"/>
    <m/>
    <n v="382911"/>
    <x v="8"/>
    <n v="2067"/>
    <n v="2719"/>
    <n v="2004"/>
    <n v="2589"/>
    <n v="0"/>
    <n v="20"/>
    <n v="45"/>
    <n v="0"/>
    <n v="18"/>
    <n v="101"/>
    <n v="9"/>
    <n v="0"/>
    <m/>
    <m/>
    <n v="0"/>
    <n v="0"/>
    <m/>
    <m/>
    <m/>
    <m/>
    <m/>
    <m/>
    <m/>
    <m/>
    <m/>
    <m/>
    <m/>
    <m/>
  </r>
  <r>
    <x v="13"/>
    <s v="Texas State Technical College-Marshall"/>
    <m/>
    <n v="408394"/>
    <x v="8"/>
    <n v="23775"/>
    <n v="21457"/>
    <n v="15272"/>
    <n v="13718"/>
    <n v="1222"/>
    <n v="751"/>
    <n v="7281"/>
    <n v="0"/>
    <n v="0"/>
    <n v="6988"/>
    <n v="0"/>
    <n v="0"/>
    <m/>
    <m/>
    <n v="0"/>
    <n v="0"/>
    <m/>
    <m/>
    <m/>
    <m/>
    <m/>
    <m/>
    <m/>
    <m/>
    <m/>
    <m/>
    <m/>
    <m/>
  </r>
  <r>
    <x v="13"/>
    <s v="Texas State Technical College-West Texas"/>
    <m/>
    <n v="229328"/>
    <x v="8"/>
    <n v="38675"/>
    <n v="25208"/>
    <n v="11530"/>
    <n v="6827"/>
    <n v="8032"/>
    <n v="6219"/>
    <n v="19104"/>
    <n v="9"/>
    <n v="0"/>
    <n v="12162"/>
    <n v="0"/>
    <n v="0"/>
    <m/>
    <m/>
    <n v="0"/>
    <n v="0"/>
    <m/>
    <m/>
    <m/>
    <m/>
    <m/>
    <m/>
    <m/>
    <m/>
    <m/>
    <m/>
    <m/>
    <m/>
  </r>
  <r>
    <x v="13"/>
    <s v="Western Texas College "/>
    <m/>
    <n v="229832"/>
    <x v="8"/>
    <n v="47076"/>
    <n v="46461"/>
    <n v="12932"/>
    <n v="13504"/>
    <n v="8828"/>
    <n v="8551"/>
    <n v="19628"/>
    <n v="5592"/>
    <n v="96"/>
    <n v="19717"/>
    <n v="4524"/>
    <n v="165"/>
    <m/>
    <m/>
    <n v="0"/>
    <n v="0"/>
    <m/>
    <m/>
    <m/>
    <m/>
    <m/>
    <m/>
    <m/>
    <m/>
    <m/>
    <m/>
    <m/>
    <m/>
  </r>
  <r>
    <x v="13"/>
    <s v="Texas A &amp; M University - Central Texas"/>
    <s v="New fall 2009. Met the criteria for Four-Year 4 in 2010-11 and 2011-12."/>
    <m/>
    <x v="13"/>
    <n v="31104"/>
    <n v="31115"/>
    <n v="19069"/>
    <n v="10845"/>
    <n v="2718"/>
    <n v="9489"/>
    <n v="8919"/>
    <n v="398"/>
    <n v="0"/>
    <n v="10514"/>
    <n v="267"/>
    <n v="0"/>
    <m/>
    <m/>
    <n v="12184"/>
    <n v="11486"/>
    <n v="9961"/>
    <n v="7625"/>
    <n v="264"/>
    <n v="1275"/>
    <n v="1959"/>
    <n v="0"/>
    <n v="0"/>
    <n v="2586"/>
    <n v="0"/>
    <n v="0"/>
    <m/>
    <m/>
  </r>
  <r>
    <x v="13"/>
    <s v="Texas A &amp; M University - San Antonio"/>
    <s v="New fall 2009. Met the criteria for Four-Year 5 in 2010-11 and 2011-12."/>
    <s v="870501"/>
    <x v="13"/>
    <n v="46866"/>
    <n v="54033"/>
    <n v="45537"/>
    <n v="31707"/>
    <n v="306"/>
    <n v="3148"/>
    <n v="1023"/>
    <n v="0"/>
    <n v="0"/>
    <n v="19178"/>
    <n v="0"/>
    <n v="0"/>
    <m/>
    <m/>
    <n v="12635"/>
    <n v="14881"/>
    <n v="12463"/>
    <n v="4422"/>
    <n v="0"/>
    <n v="966"/>
    <n v="172"/>
    <n v="0"/>
    <n v="0"/>
    <n v="9493"/>
    <n v="0"/>
    <n v="0"/>
    <m/>
    <m/>
  </r>
  <r>
    <x v="13"/>
    <s v="University of North Texas at Dallas"/>
    <s v="New fall 2009. No degrees yet granted."/>
    <m/>
    <x v="13"/>
    <n v="27801"/>
    <n v="31544"/>
    <n v="27657"/>
    <n v="30845"/>
    <n v="144"/>
    <n v="228"/>
    <n v="0"/>
    <n v="0"/>
    <n v="0"/>
    <n v="471"/>
    <n v="0"/>
    <n v="0"/>
    <m/>
    <m/>
    <n v="4498"/>
    <n v="3852"/>
    <n v="4090"/>
    <n v="3765"/>
    <n v="312"/>
    <n v="48"/>
    <n v="0"/>
    <n v="96"/>
    <n v="0"/>
    <n v="39"/>
    <n v="0"/>
    <n v="0"/>
    <m/>
    <m/>
  </r>
  <r>
    <x v="14"/>
    <s v="George Mason University "/>
    <m/>
    <n v="232186"/>
    <x v="0"/>
    <n v="546706.5"/>
    <n v="570979.5"/>
    <n v="521158"/>
    <n v="534505"/>
    <n v="11373.5"/>
    <n v="16202.5"/>
    <n v="13560"/>
    <n v="615"/>
    <n v="0"/>
    <n v="17092"/>
    <n v="3180"/>
    <m/>
    <m/>
    <m/>
    <n v="170127.99999999889"/>
    <n v="177232.5"/>
    <n v="136925.399999999"/>
    <n v="136496.5"/>
    <n v="23855.5999999999"/>
    <n v="31841.5"/>
    <n v="7947.5"/>
    <n v="1399.5"/>
    <n v="0"/>
    <n v="6907.5"/>
    <n v="1987"/>
    <m/>
    <n v="0"/>
    <m/>
  </r>
  <r>
    <x v="14"/>
    <s v="Old Dominion University "/>
    <m/>
    <n v="232982"/>
    <x v="0"/>
    <n v="484643"/>
    <n v="501823"/>
    <n v="424035"/>
    <n v="436372"/>
    <n v="423"/>
    <n v="1200"/>
    <n v="25379"/>
    <n v="34806"/>
    <n v="0"/>
    <n v="31568"/>
    <n v="32683"/>
    <m/>
    <m/>
    <m/>
    <n v="78185"/>
    <n v="76119"/>
    <n v="53943"/>
    <n v="51385"/>
    <n v="1906"/>
    <n v="3593"/>
    <n v="10525"/>
    <n v="11811"/>
    <n v="0"/>
    <n v="9636"/>
    <n v="11505"/>
    <m/>
    <n v="0"/>
    <m/>
  </r>
  <r>
    <x v="14"/>
    <s v="University of Virginia"/>
    <m/>
    <n v="234076"/>
    <x v="0"/>
    <n v="462973"/>
    <n v="467835.5"/>
    <n v="418800"/>
    <n v="424751.5"/>
    <n v="41409"/>
    <n v="39412"/>
    <n v="2764"/>
    <n v="0"/>
    <n v="0"/>
    <n v="3672"/>
    <n v="0"/>
    <m/>
    <m/>
    <m/>
    <n v="202178.899999999"/>
    <n v="203119"/>
    <n v="172639.899999999"/>
    <n v="176415"/>
    <n v="20521"/>
    <n v="19000"/>
    <n v="8112"/>
    <n v="906"/>
    <n v="0"/>
    <n v="7227"/>
    <n v="477"/>
    <m/>
    <n v="0"/>
    <m/>
  </r>
  <r>
    <x v="14"/>
    <s v="Virginia Tech "/>
    <m/>
    <n v="233921"/>
    <x v="0"/>
    <n v="745331"/>
    <n v="748965"/>
    <n v="735345"/>
    <n v="737571"/>
    <n v="398"/>
    <n v="287"/>
    <n v="8610"/>
    <n v="978"/>
    <n v="0"/>
    <n v="9529"/>
    <n v="1578"/>
    <m/>
    <m/>
    <m/>
    <n v="145263"/>
    <n v="146962"/>
    <n v="109969"/>
    <n v="110934"/>
    <n v="20486"/>
    <n v="21163"/>
    <n v="10227"/>
    <n v="4581"/>
    <n v="0"/>
    <n v="9078"/>
    <n v="5787"/>
    <m/>
    <n v="0"/>
    <m/>
  </r>
  <r>
    <x v="14"/>
    <s v="College of William &amp; Mary"/>
    <m/>
    <n v="231624"/>
    <x v="1"/>
    <n v="169436.5"/>
    <n v="175401"/>
    <n v="168765.5"/>
    <n v="174378"/>
    <n v="671"/>
    <n v="1023"/>
    <n v="0"/>
    <n v="0"/>
    <n v="0"/>
    <n v="0"/>
    <n v="0"/>
    <m/>
    <m/>
    <m/>
    <n v="54173"/>
    <n v="54763.5"/>
    <n v="50819"/>
    <n v="49512"/>
    <n v="3354"/>
    <n v="5251.5"/>
    <n v="0"/>
    <n v="0"/>
    <n v="0"/>
    <n v="0"/>
    <n v="0"/>
    <m/>
    <n v="0"/>
    <m/>
  </r>
  <r>
    <x v="14"/>
    <s v="Virginia Commonwealth University"/>
    <s v="Met the criteria for Four-Year 1 in 2011-2012"/>
    <n v="234030"/>
    <x v="1"/>
    <n v="648362.5"/>
    <n v="650106.5"/>
    <n v="624894.5"/>
    <n v="618488.5"/>
    <n v="7888"/>
    <n v="7338"/>
    <n v="15580"/>
    <n v="0"/>
    <n v="0"/>
    <n v="24280"/>
    <n v="0"/>
    <m/>
    <m/>
    <m/>
    <n v="146465.5"/>
    <n v="140788"/>
    <n v="121330.5"/>
    <n v="118096"/>
    <n v="17085"/>
    <n v="12821"/>
    <n v="8050"/>
    <n v="0"/>
    <n v="0"/>
    <n v="9871"/>
    <n v="0"/>
    <m/>
    <n v="0"/>
    <m/>
  </r>
  <r>
    <x v="14"/>
    <s v="James Madison University"/>
    <m/>
    <n v="232423"/>
    <x v="2"/>
    <n v="522097"/>
    <n v="533881"/>
    <n v="505528"/>
    <n v="507922"/>
    <n v="7300"/>
    <n v="10157"/>
    <n v="9269"/>
    <n v="0"/>
    <n v="0"/>
    <n v="15802"/>
    <n v="0"/>
    <m/>
    <m/>
    <m/>
    <n v="32972"/>
    <n v="33802"/>
    <n v="26752"/>
    <n v="26315"/>
    <n v="2910"/>
    <n v="3548"/>
    <n v="3300"/>
    <n v="10"/>
    <n v="0"/>
    <n v="3939"/>
    <n v="0"/>
    <m/>
    <n v="0"/>
    <m/>
  </r>
  <r>
    <x v="14"/>
    <s v="Norfolk State University "/>
    <m/>
    <n v="232937"/>
    <x v="2"/>
    <n v="145531"/>
    <n v="160708"/>
    <n v="136041"/>
    <n v="134731"/>
    <n v="0"/>
    <n v="1815"/>
    <n v="9490"/>
    <n v="0"/>
    <n v="0"/>
    <n v="0"/>
    <n v="24162"/>
    <m/>
    <m/>
    <m/>
    <n v="12457"/>
    <n v="14099"/>
    <n v="11578"/>
    <n v="11591"/>
    <n v="0"/>
    <n v="652"/>
    <n v="879"/>
    <n v="0"/>
    <n v="0"/>
    <n v="0"/>
    <n v="1856"/>
    <m/>
    <n v="0"/>
    <m/>
  </r>
  <r>
    <x v="14"/>
    <s v="Longwood University "/>
    <s v="Met the criteria for Four-Year 3 in 2011-2012"/>
    <n v="232566"/>
    <x v="3"/>
    <n v="124398"/>
    <n v="244570"/>
    <n v="116807"/>
    <n v="235209"/>
    <n v="768"/>
    <n v="7653"/>
    <n v="6823"/>
    <n v="0"/>
    <n v="0"/>
    <n v="810"/>
    <n v="898"/>
    <m/>
    <m/>
    <m/>
    <n v="8191"/>
    <n v="20498"/>
    <n v="4299"/>
    <n v="15415"/>
    <n v="2981"/>
    <n v="3350"/>
    <n v="911"/>
    <n v="0"/>
    <n v="0"/>
    <n v="385"/>
    <n v="1348"/>
    <m/>
    <n v="0"/>
    <m/>
  </r>
  <r>
    <x v="14"/>
    <s v="Radford University"/>
    <s v="Met the criteria for Four-Year 3 in 2011-2012"/>
    <n v="233277"/>
    <x v="3"/>
    <n v="235610"/>
    <n v="157465"/>
    <n v="227686"/>
    <n v="153741"/>
    <n v="5953"/>
    <n v="2680"/>
    <n v="1257"/>
    <n v="714"/>
    <n v="0"/>
    <n v="1044"/>
    <n v="0"/>
    <m/>
    <m/>
    <m/>
    <n v="19948"/>
    <n v="9863"/>
    <n v="15503"/>
    <n v="8063"/>
    <n v="3207"/>
    <n v="1800"/>
    <n v="317"/>
    <n v="921"/>
    <n v="0"/>
    <n v="0"/>
    <n v="0"/>
    <m/>
    <n v="0"/>
    <m/>
  </r>
  <r>
    <x v="14"/>
    <s v="Virginia State University "/>
    <s v="Met the criteria for Four-Year 3 in 2011-2012"/>
    <n v="234155"/>
    <x v="3"/>
    <n v="152509"/>
    <n v="140270"/>
    <n v="148062"/>
    <n v="139898"/>
    <n v="2916"/>
    <n v="372"/>
    <n v="1531"/>
    <n v="0"/>
    <n v="0"/>
    <n v="0"/>
    <n v="0"/>
    <m/>
    <m/>
    <m/>
    <n v="9563"/>
    <n v="3807"/>
    <n v="7526"/>
    <n v="3807"/>
    <n v="1788"/>
    <n v="0"/>
    <n v="249"/>
    <n v="0"/>
    <n v="0"/>
    <n v="0"/>
    <n v="0"/>
    <m/>
    <n v="0"/>
    <m/>
  </r>
  <r>
    <x v="14"/>
    <s v="Christopher Newport University"/>
    <s v="Met the criteria for Four-Year 4 in 2011-2012"/>
    <n v="231712"/>
    <x v="4"/>
    <n v="138094"/>
    <n v="126712"/>
    <n v="136161"/>
    <n v="117765"/>
    <n v="345"/>
    <n v="781"/>
    <n v="1588"/>
    <n v="0"/>
    <n v="0"/>
    <n v="8166"/>
    <n v="0"/>
    <m/>
    <m/>
    <m/>
    <n v="4215"/>
    <n v="7771"/>
    <n v="4119"/>
    <n v="4139"/>
    <n v="96"/>
    <n v="1918"/>
    <n v="0"/>
    <n v="0"/>
    <n v="0"/>
    <n v="1714"/>
    <n v="0"/>
    <m/>
    <n v="0"/>
    <m/>
  </r>
  <r>
    <x v="14"/>
    <s v="University of Mary Washington "/>
    <s v="Met the criteria for Four-Year 3 in 2011-2012"/>
    <n v="232681"/>
    <x v="4"/>
    <n v="126229"/>
    <n v="126791"/>
    <n v="122084"/>
    <n v="122858"/>
    <n v="0"/>
    <n v="0"/>
    <n v="4022"/>
    <n v="123"/>
    <n v="0"/>
    <n v="3849"/>
    <n v="84"/>
    <m/>
    <m/>
    <m/>
    <n v="10857"/>
    <n v="9707"/>
    <n v="9170"/>
    <n v="8042"/>
    <n v="0"/>
    <n v="0"/>
    <n v="1687"/>
    <n v="0"/>
    <n v="0"/>
    <n v="1665"/>
    <n v="0"/>
    <m/>
    <n v="0"/>
    <m/>
  </r>
  <r>
    <x v="14"/>
    <s v="University of Virginia's College at Wise "/>
    <m/>
    <n v="233897"/>
    <x v="5"/>
    <n v="50690.3"/>
    <n v="51098"/>
    <n v="48171.3"/>
    <n v="48493"/>
    <n v="499"/>
    <n v="901"/>
    <n v="2020"/>
    <n v="0"/>
    <n v="0"/>
    <n v="1704"/>
    <n v="0"/>
    <m/>
    <m/>
    <m/>
    <n v="0"/>
    <n v="0"/>
    <n v="0"/>
    <n v="0"/>
    <n v="0"/>
    <n v="0"/>
    <n v="0"/>
    <n v="0"/>
    <n v="0"/>
    <n v="0"/>
    <n v="0"/>
    <m/>
    <n v="0"/>
    <m/>
  </r>
  <r>
    <x v="14"/>
    <s v="J.S. Reynolds Community College"/>
    <m/>
    <n v="232414"/>
    <x v="6"/>
    <n v="244230"/>
    <n v="258715"/>
    <n v="172158"/>
    <n v="169578"/>
    <n v="15398"/>
    <n v="22486"/>
    <n v="56524"/>
    <n v="150"/>
    <n v="0"/>
    <n v="66480"/>
    <n v="171"/>
    <m/>
    <m/>
    <m/>
    <n v="0"/>
    <n v="0"/>
    <n v="0"/>
    <n v="0"/>
    <n v="0"/>
    <n v="0"/>
    <n v="0"/>
    <n v="0"/>
    <n v="0"/>
    <n v="0"/>
    <n v="0"/>
    <m/>
    <n v="0"/>
    <m/>
  </r>
  <r>
    <x v="14"/>
    <s v="Northern Virginia Community College "/>
    <m/>
    <n v="232946"/>
    <x v="6"/>
    <n v="1001401"/>
    <n v="1051547"/>
    <n v="735603"/>
    <n v="756511"/>
    <n v="55892"/>
    <n v="60406"/>
    <n v="204659"/>
    <n v="5247"/>
    <n v="0"/>
    <n v="229568"/>
    <n v="5062"/>
    <m/>
    <m/>
    <m/>
    <n v="0"/>
    <n v="0"/>
    <n v="0"/>
    <n v="0"/>
    <n v="0"/>
    <n v="0"/>
    <n v="0"/>
    <n v="0"/>
    <n v="0"/>
    <n v="0"/>
    <n v="0"/>
    <m/>
    <n v="0"/>
    <m/>
  </r>
  <r>
    <x v="14"/>
    <s v="Thomas Nelson Community College "/>
    <m/>
    <n v="233754"/>
    <x v="6"/>
    <n v="204930"/>
    <n v="215326"/>
    <n v="149305"/>
    <n v="154144"/>
    <n v="17013"/>
    <n v="16070"/>
    <n v="38173"/>
    <n v="439"/>
    <n v="0"/>
    <n v="44775"/>
    <n v="337"/>
    <m/>
    <m/>
    <m/>
    <n v="0"/>
    <n v="0"/>
    <n v="0"/>
    <n v="0"/>
    <n v="0"/>
    <n v="0"/>
    <n v="0"/>
    <n v="0"/>
    <n v="0"/>
    <n v="0"/>
    <n v="0"/>
    <m/>
    <n v="0"/>
    <m/>
  </r>
  <r>
    <x v="14"/>
    <s v="Tidewater Community College "/>
    <m/>
    <n v="233772"/>
    <x v="6"/>
    <n v="657783"/>
    <n v="690950"/>
    <n v="443134"/>
    <n v="469902"/>
    <n v="44119"/>
    <n v="42965"/>
    <n v="170530"/>
    <n v="0"/>
    <n v="0"/>
    <n v="178034"/>
    <n v="49"/>
    <m/>
    <m/>
    <m/>
    <n v="0"/>
    <n v="0"/>
    <n v="0"/>
    <n v="0"/>
    <n v="0"/>
    <n v="0"/>
    <n v="0"/>
    <n v="0"/>
    <n v="0"/>
    <n v="0"/>
    <n v="0"/>
    <m/>
    <n v="0"/>
    <m/>
  </r>
  <r>
    <x v="14"/>
    <s v="Blue Ridge Community College "/>
    <m/>
    <n v="231536"/>
    <x v="7"/>
    <n v="94850"/>
    <n v="94524"/>
    <n v="56418"/>
    <n v="54717"/>
    <n v="12609"/>
    <n v="11233"/>
    <n v="25823"/>
    <n v="0"/>
    <n v="0"/>
    <n v="28574"/>
    <n v="0"/>
    <m/>
    <m/>
    <m/>
    <n v="0"/>
    <n v="0"/>
    <n v="0"/>
    <n v="0"/>
    <n v="0"/>
    <n v="0"/>
    <n v="0"/>
    <n v="0"/>
    <n v="0"/>
    <n v="0"/>
    <n v="0"/>
    <m/>
    <n v="0"/>
    <m/>
  </r>
  <r>
    <x v="14"/>
    <s v="Central Virginia Community College "/>
    <m/>
    <n v="231697"/>
    <x v="7"/>
    <n v="88313"/>
    <n v="88001"/>
    <n v="54003"/>
    <n v="52026"/>
    <n v="17498"/>
    <n v="18497"/>
    <n v="12808"/>
    <n v="4004"/>
    <n v="0"/>
    <n v="13611"/>
    <n v="3867"/>
    <m/>
    <m/>
    <m/>
    <n v="0"/>
    <n v="0"/>
    <n v="0"/>
    <n v="0"/>
    <n v="0"/>
    <n v="0"/>
    <n v="0"/>
    <n v="0"/>
    <n v="0"/>
    <n v="0"/>
    <n v="0"/>
    <m/>
    <n v="0"/>
    <m/>
  </r>
  <r>
    <x v="14"/>
    <s v="Danville Community College "/>
    <m/>
    <n v="231882"/>
    <x v="7"/>
    <n v="88812"/>
    <n v="85382"/>
    <n v="58317"/>
    <n v="57605"/>
    <n v="20500"/>
    <n v="18086"/>
    <n v="9382"/>
    <n v="613"/>
    <n v="0"/>
    <n v="9107"/>
    <n v="584"/>
    <m/>
    <m/>
    <m/>
    <n v="0"/>
    <n v="0"/>
    <n v="0"/>
    <n v="0"/>
    <n v="0"/>
    <n v="0"/>
    <n v="0"/>
    <n v="0"/>
    <n v="0"/>
    <n v="0"/>
    <n v="0"/>
    <m/>
    <n v="0"/>
    <m/>
  </r>
  <r>
    <x v="14"/>
    <s v="Germanna Community College"/>
    <m/>
    <n v="232195"/>
    <x v="7"/>
    <n v="131957"/>
    <n v="139901"/>
    <n v="81676"/>
    <n v="68757"/>
    <n v="16152"/>
    <n v="18585"/>
    <n v="21591"/>
    <n v="12538"/>
    <n v="0"/>
    <n v="27980"/>
    <n v="24579"/>
    <m/>
    <m/>
    <m/>
    <n v="0"/>
    <n v="0"/>
    <n v="0"/>
    <n v="0"/>
    <n v="0"/>
    <n v="0"/>
    <n v="0"/>
    <n v="0"/>
    <n v="0"/>
    <n v="0"/>
    <n v="0"/>
    <m/>
    <n v="0"/>
    <m/>
  </r>
  <r>
    <x v="14"/>
    <s v="John Tyler Community College"/>
    <s v="Met the criteria for Two-Year 1 in 2011-12."/>
    <n v="232450"/>
    <x v="7"/>
    <n v="181574"/>
    <n v="190338"/>
    <n v="120678"/>
    <n v="122195"/>
    <n v="20587"/>
    <n v="20761"/>
    <n v="40107"/>
    <n v="202"/>
    <n v="0"/>
    <n v="47182"/>
    <n v="200"/>
    <m/>
    <m/>
    <m/>
    <n v="0"/>
    <n v="0"/>
    <n v="0"/>
    <n v="0"/>
    <n v="0"/>
    <n v="0"/>
    <n v="0"/>
    <n v="0"/>
    <n v="0"/>
    <n v="0"/>
    <n v="0"/>
    <m/>
    <n v="0"/>
    <m/>
  </r>
  <r>
    <x v="14"/>
    <s v="Lord Fairfax Community College"/>
    <m/>
    <n v="232575"/>
    <x v="7"/>
    <n v="117744"/>
    <n v="123923"/>
    <n v="72683"/>
    <n v="71369"/>
    <n v="18552"/>
    <n v="19623"/>
    <n v="18969"/>
    <n v="7540"/>
    <n v="0"/>
    <n v="26289"/>
    <n v="6642"/>
    <m/>
    <m/>
    <m/>
    <n v="0"/>
    <n v="0"/>
    <n v="0"/>
    <n v="0"/>
    <n v="0"/>
    <n v="0"/>
    <n v="0"/>
    <n v="0"/>
    <n v="0"/>
    <n v="0"/>
    <n v="0"/>
    <m/>
    <n v="0"/>
    <m/>
  </r>
  <r>
    <x v="14"/>
    <s v="New River Community College "/>
    <m/>
    <n v="232867"/>
    <x v="7"/>
    <n v="101175"/>
    <n v="100166"/>
    <n v="42150"/>
    <n v="36784"/>
    <n v="30343"/>
    <n v="30117"/>
    <n v="28244"/>
    <n v="438"/>
    <n v="0"/>
    <n v="32557"/>
    <n v="708"/>
    <m/>
    <m/>
    <m/>
    <n v="0"/>
    <n v="0"/>
    <n v="0"/>
    <n v="0"/>
    <n v="0"/>
    <n v="0"/>
    <n v="0"/>
    <n v="0"/>
    <n v="0"/>
    <n v="0"/>
    <n v="0"/>
    <m/>
    <n v="0"/>
    <m/>
  </r>
  <r>
    <x v="14"/>
    <s v="Patrick Henry Community College "/>
    <s v="Reclassified: Met the criteria for Two-Year 2 in 2009-10, 2010-11, and 2011-12."/>
    <n v="233019"/>
    <x v="7"/>
    <n v="76247"/>
    <n v="65095"/>
    <n v="40582"/>
    <n v="27821"/>
    <n v="12047"/>
    <n v="9870"/>
    <n v="22539"/>
    <n v="1079"/>
    <n v="0"/>
    <n v="25207"/>
    <n v="2197"/>
    <m/>
    <m/>
    <m/>
    <n v="0"/>
    <n v="0"/>
    <n v="0"/>
    <n v="0"/>
    <n v="0"/>
    <n v="0"/>
    <n v="0"/>
    <n v="0"/>
    <n v="0"/>
    <n v="0"/>
    <n v="0"/>
    <m/>
    <n v="0"/>
    <m/>
  </r>
  <r>
    <x v="14"/>
    <s v="Piedmont Virginia Community College "/>
    <m/>
    <n v="233116"/>
    <x v="7"/>
    <n v="88143"/>
    <n v="75059"/>
    <n v="63828"/>
    <n v="39726"/>
    <n v="11644"/>
    <n v="10088"/>
    <n v="12671"/>
    <n v="0"/>
    <n v="0"/>
    <n v="23333"/>
    <n v="1912"/>
    <m/>
    <m/>
    <m/>
    <n v="0"/>
    <n v="0"/>
    <n v="0"/>
    <n v="0"/>
    <n v="0"/>
    <n v="0"/>
    <n v="0"/>
    <n v="0"/>
    <n v="0"/>
    <n v="0"/>
    <n v="0"/>
    <m/>
    <n v="0"/>
    <m/>
  </r>
  <r>
    <x v="14"/>
    <s v="Southside Virginia Community College"/>
    <m/>
    <n v="233639"/>
    <x v="7"/>
    <n v="115613"/>
    <n v="91630"/>
    <n v="32261"/>
    <n v="64414"/>
    <n v="55544"/>
    <n v="11752"/>
    <n v="26485"/>
    <n v="1323"/>
    <n v="0"/>
    <n v="15052"/>
    <n v="412"/>
    <m/>
    <m/>
    <m/>
    <n v="0"/>
    <n v="0"/>
    <n v="0"/>
    <n v="0"/>
    <n v="0"/>
    <n v="0"/>
    <n v="0"/>
    <n v="0"/>
    <n v="0"/>
    <n v="0"/>
    <n v="0"/>
    <m/>
    <n v="0"/>
    <m/>
  </r>
  <r>
    <x v="14"/>
    <s v="Southwest Virginia Community College "/>
    <m/>
    <n v="233648"/>
    <x v="7"/>
    <n v="75145"/>
    <n v="120284"/>
    <n v="29666"/>
    <n v="31186"/>
    <n v="23308"/>
    <n v="58575"/>
    <n v="18796"/>
    <n v="3375"/>
    <n v="0"/>
    <n v="29145"/>
    <n v="1378"/>
    <m/>
    <m/>
    <m/>
    <n v="0"/>
    <n v="0"/>
    <n v="0"/>
    <n v="0"/>
    <n v="0"/>
    <n v="0"/>
    <n v="0"/>
    <n v="0"/>
    <n v="0"/>
    <n v="0"/>
    <n v="0"/>
    <m/>
    <n v="0"/>
    <m/>
  </r>
  <r>
    <x v="14"/>
    <s v="Virginia Western Community College "/>
    <m/>
    <n v="233949"/>
    <x v="7"/>
    <n v="147852"/>
    <n v="66830"/>
    <n v="97067"/>
    <n v="26128"/>
    <n v="22641"/>
    <n v="18665"/>
    <n v="21467"/>
    <n v="6677"/>
    <n v="0"/>
    <n v="18884"/>
    <n v="3153"/>
    <m/>
    <m/>
    <m/>
    <n v="0"/>
    <n v="0"/>
    <n v="0"/>
    <n v="0"/>
    <n v="0"/>
    <n v="0"/>
    <n v="0"/>
    <n v="0"/>
    <n v="0"/>
    <n v="0"/>
    <n v="0"/>
    <m/>
    <n v="0"/>
    <m/>
  </r>
  <r>
    <x v="14"/>
    <s v="Wytheville Community College "/>
    <s v="Reclassified: Met the criteria for Two-Year 2 in 2009-10, 2010-11, and 2011-12."/>
    <n v="234377"/>
    <x v="7"/>
    <n v="74124"/>
    <n v="72616"/>
    <n v="18220"/>
    <n v="16905"/>
    <n v="22192"/>
    <n v="19578"/>
    <n v="29253"/>
    <n v="4459"/>
    <n v="0"/>
    <n v="32402"/>
    <n v="3731"/>
    <m/>
    <m/>
    <m/>
    <n v="0"/>
    <n v="0"/>
    <n v="0"/>
    <n v="0"/>
    <n v="0"/>
    <n v="0"/>
    <n v="0"/>
    <n v="0"/>
    <n v="0"/>
    <n v="0"/>
    <n v="0"/>
    <m/>
    <n v="0"/>
    <m/>
  </r>
  <r>
    <x v="14"/>
    <s v="D.S. Lancaster Community College "/>
    <m/>
    <n v="231873"/>
    <x v="8"/>
    <n v="26089"/>
    <n v="147745"/>
    <n v="9774"/>
    <n v="97857"/>
    <n v="5978"/>
    <n v="21373"/>
    <n v="2487"/>
    <n v="7850"/>
    <n v="0"/>
    <n v="21550"/>
    <n v="6965"/>
    <m/>
    <m/>
    <m/>
    <n v="0"/>
    <n v="0"/>
    <n v="0"/>
    <n v="0"/>
    <n v="0"/>
    <n v="0"/>
    <n v="0"/>
    <n v="0"/>
    <n v="0"/>
    <n v="0"/>
    <n v="0"/>
    <m/>
    <n v="0"/>
    <m/>
  </r>
  <r>
    <x v="14"/>
    <s v="Eastern Shore Community College"/>
    <m/>
    <n v="232052"/>
    <x v="8"/>
    <n v="20534"/>
    <n v="26632"/>
    <n v="14384"/>
    <n v="9670"/>
    <n v="2661"/>
    <n v="6672"/>
    <n v="3489"/>
    <n v="0"/>
    <n v="0"/>
    <n v="2708"/>
    <n v="7582"/>
    <m/>
    <m/>
    <m/>
    <n v="0"/>
    <n v="0"/>
    <n v="0"/>
    <n v="0"/>
    <n v="0"/>
    <n v="0"/>
    <n v="0"/>
    <n v="0"/>
    <n v="0"/>
    <n v="0"/>
    <n v="0"/>
    <m/>
    <n v="0"/>
    <m/>
  </r>
  <r>
    <x v="14"/>
    <s v="Mountain Empire Community College"/>
    <s v="Met the criteria for Two-Year 2 in 2010-11 and 2011-12."/>
    <n v="232788"/>
    <x v="8"/>
    <n v="65947"/>
    <n v="20212"/>
    <n v="29771"/>
    <n v="14180"/>
    <n v="10524"/>
    <n v="2383"/>
    <n v="23917"/>
    <n v="1735"/>
    <n v="0"/>
    <n v="3649"/>
    <n v="0"/>
    <m/>
    <m/>
    <m/>
    <n v="0"/>
    <n v="0"/>
    <n v="0"/>
    <n v="0"/>
    <n v="0"/>
    <n v="0"/>
    <n v="0"/>
    <n v="0"/>
    <n v="0"/>
    <n v="0"/>
    <n v="0"/>
    <m/>
    <n v="0"/>
    <m/>
  </r>
  <r>
    <x v="14"/>
    <s v="Paul D. Camp Community College"/>
    <m/>
    <n v="233037"/>
    <x v="8"/>
    <n v="30751"/>
    <n v="33209"/>
    <n v="17424"/>
    <n v="17625"/>
    <n v="5763"/>
    <n v="5671"/>
    <n v="6406"/>
    <n v="1158"/>
    <n v="0"/>
    <n v="7655"/>
    <n v="2258"/>
    <m/>
    <m/>
    <m/>
    <n v="0"/>
    <n v="0"/>
    <n v="0"/>
    <n v="0"/>
    <n v="0"/>
    <n v="0"/>
    <n v="0"/>
    <n v="0"/>
    <n v="0"/>
    <n v="0"/>
    <n v="0"/>
    <m/>
    <n v="0"/>
    <m/>
  </r>
  <r>
    <x v="14"/>
    <s v="Rappahannock Community College"/>
    <s v="Met the criteria for Two-Year 2 in 2011-12."/>
    <n v="233310"/>
    <x v="8"/>
    <n v="58268"/>
    <n v="60806"/>
    <n v="16725"/>
    <n v="17501"/>
    <n v="16035"/>
    <n v="16122"/>
    <n v="12884"/>
    <n v="12624"/>
    <n v="0"/>
    <n v="15331"/>
    <n v="11852"/>
    <m/>
    <m/>
    <m/>
    <n v="0"/>
    <n v="0"/>
    <n v="0"/>
    <n v="0"/>
    <n v="0"/>
    <n v="0"/>
    <n v="0"/>
    <n v="0"/>
    <n v="0"/>
    <n v="0"/>
    <n v="0"/>
    <m/>
    <n v="0"/>
    <m/>
  </r>
  <r>
    <x v="14"/>
    <s v="Richard Bland College "/>
    <m/>
    <n v="233338"/>
    <x v="8"/>
    <n v="35209"/>
    <n v="35253"/>
    <n v="32786"/>
    <n v="32172"/>
    <n v="1572"/>
    <n v="2100"/>
    <n v="851"/>
    <n v="0"/>
    <n v="0"/>
    <n v="981"/>
    <n v="0"/>
    <m/>
    <m/>
    <m/>
    <n v="0"/>
    <n v="0"/>
    <n v="0"/>
    <n v="0"/>
    <n v="0"/>
    <n v="0"/>
    <n v="0"/>
    <n v="0"/>
    <n v="0"/>
    <n v="0"/>
    <n v="0"/>
    <m/>
    <n v="0"/>
    <m/>
  </r>
  <r>
    <x v="14"/>
    <s v="Virginia Highlands Community College "/>
    <m/>
    <n v="233903"/>
    <x v="8"/>
    <n v="56123"/>
    <n v="54973"/>
    <n v="34830"/>
    <n v="32955"/>
    <n v="7037"/>
    <n v="7638"/>
    <n v="11977"/>
    <n v="2279"/>
    <n v="0"/>
    <n v="12204"/>
    <n v="2176"/>
    <m/>
    <m/>
    <m/>
    <n v="0"/>
    <n v="0"/>
    <n v="0"/>
    <n v="0"/>
    <n v="0"/>
    <n v="0"/>
    <n v="0"/>
    <n v="0"/>
    <n v="0"/>
    <n v="0"/>
    <n v="0"/>
    <m/>
    <n v="0"/>
    <m/>
  </r>
  <r>
    <x v="15"/>
    <s v="West Virginia University"/>
    <m/>
    <n v="238032"/>
    <x v="0"/>
    <n v="650374"/>
    <n v="662072"/>
    <n v="606693"/>
    <n v="612957"/>
    <n v="1175"/>
    <n v="1533"/>
    <n v="39902"/>
    <m/>
    <n v="2604"/>
    <n v="44920"/>
    <n v="24"/>
    <n v="2638"/>
    <m/>
    <m/>
    <n v="112337"/>
    <n v="111929"/>
    <n v="74358"/>
    <n v="73384"/>
    <n v="10645"/>
    <n v="10052"/>
    <n v="24476"/>
    <n v="2395"/>
    <n v="463"/>
    <n v="27481"/>
    <n v="830"/>
    <n v="182"/>
    <m/>
    <m/>
  </r>
  <r>
    <x v="15"/>
    <s v="Marshall University "/>
    <m/>
    <n v="237525"/>
    <x v="2"/>
    <n v="268026"/>
    <n v="274112"/>
    <n v="218335"/>
    <n v="219156"/>
    <n v="14845"/>
    <n v="16098"/>
    <n v="34600"/>
    <n v="246"/>
    <m/>
    <n v="37728"/>
    <n v="1130"/>
    <m/>
    <m/>
    <m/>
    <n v="55610"/>
    <n v="55072"/>
    <n v="18341"/>
    <n v="16283"/>
    <n v="24862"/>
    <n v="27662"/>
    <n v="11933"/>
    <n v="474"/>
    <m/>
    <n v="10989"/>
    <n v="138"/>
    <m/>
    <m/>
    <m/>
  </r>
  <r>
    <x v="15"/>
    <s v="Fairmont State University"/>
    <m/>
    <n v="237367"/>
    <x v="4"/>
    <n v="120046"/>
    <n v="119371"/>
    <n v="91278"/>
    <n v="90202"/>
    <n v="14672"/>
    <n v="14854"/>
    <n v="14096"/>
    <m/>
    <m/>
    <n v="14315"/>
    <m/>
    <m/>
    <m/>
    <m/>
    <n v="5087"/>
    <n v="5208"/>
    <n v="1281"/>
    <n v="1226"/>
    <m/>
    <m/>
    <n v="3806"/>
    <m/>
    <m/>
    <n v="3982"/>
    <m/>
    <m/>
    <m/>
    <m/>
  </r>
  <r>
    <x v="15"/>
    <s v="Shepherd University "/>
    <m/>
    <n v="237792"/>
    <x v="4"/>
    <n v="109161"/>
    <n v="111796"/>
    <n v="107461"/>
    <n v="110273"/>
    <m/>
    <m/>
    <n v="1700"/>
    <m/>
    <m/>
    <n v="1523"/>
    <m/>
    <m/>
    <m/>
    <m/>
    <n v="3486"/>
    <n v="3877"/>
    <n v="3132"/>
    <n v="3511"/>
    <m/>
    <m/>
    <n v="354"/>
    <m/>
    <m/>
    <n v="366"/>
    <m/>
    <m/>
    <m/>
    <m/>
  </r>
  <r>
    <x v="15"/>
    <s v="Bluefield State College "/>
    <m/>
    <n v="237215"/>
    <x v="5"/>
    <n v="56036"/>
    <n v="53681"/>
    <n v="34354"/>
    <n v="30505"/>
    <n v="2743"/>
    <n v="3414"/>
    <n v="16285"/>
    <n v="2654"/>
    <m/>
    <n v="16079"/>
    <n v="3683"/>
    <m/>
    <m/>
    <m/>
    <n v="0"/>
    <n v="0"/>
    <m/>
    <m/>
    <m/>
    <m/>
    <m/>
    <m/>
    <m/>
    <m/>
    <m/>
    <m/>
    <m/>
    <m/>
  </r>
  <r>
    <x v="15"/>
    <s v="Concord University "/>
    <m/>
    <n v="237330"/>
    <x v="5"/>
    <n v="80188"/>
    <n v="81167"/>
    <n v="65734"/>
    <n v="64357"/>
    <n v="10548"/>
    <n v="10958"/>
    <n v="3248"/>
    <n v="400"/>
    <n v="258"/>
    <n v="5259"/>
    <n v="593"/>
    <m/>
    <m/>
    <m/>
    <n v="2898"/>
    <n v="4326"/>
    <n v="165"/>
    <n v="363"/>
    <n v="342"/>
    <n v="732"/>
    <n v="2391"/>
    <m/>
    <m/>
    <n v="3231"/>
    <m/>
    <m/>
    <m/>
    <m/>
  </r>
  <r>
    <x v="15"/>
    <s v="Glenville State College "/>
    <m/>
    <n v="237385"/>
    <x v="5"/>
    <n v="44658"/>
    <n v="45017"/>
    <n v="34424"/>
    <n v="34308"/>
    <n v="4693"/>
    <n v="5066"/>
    <n v="5541"/>
    <m/>
    <m/>
    <n v="5643"/>
    <m/>
    <m/>
    <m/>
    <m/>
    <n v="0"/>
    <n v="0"/>
    <m/>
    <m/>
    <m/>
    <m/>
    <m/>
    <m/>
    <m/>
    <m/>
    <m/>
    <m/>
    <m/>
    <m/>
  </r>
  <r>
    <x v="15"/>
    <s v="West Liberty University"/>
    <m/>
    <n v="237932"/>
    <x v="5"/>
    <n v="76144"/>
    <n v="76878"/>
    <n v="67505"/>
    <n v="66294"/>
    <n v="4721"/>
    <n v="4492"/>
    <n v="3918"/>
    <m/>
    <m/>
    <n v="6092"/>
    <m/>
    <m/>
    <m/>
    <m/>
    <n v="1122"/>
    <n v="1020"/>
    <n v="51"/>
    <n v="24"/>
    <n v="1071"/>
    <n v="966"/>
    <m/>
    <m/>
    <m/>
    <n v="30"/>
    <m/>
    <m/>
    <m/>
    <m/>
  </r>
  <r>
    <x v="15"/>
    <s v="West Virginia State University "/>
    <m/>
    <n v="237899"/>
    <x v="5"/>
    <n v="76697"/>
    <n v="69990"/>
    <n v="68122"/>
    <n v="58141"/>
    <n v="2359"/>
    <n v="2294"/>
    <n v="6216"/>
    <m/>
    <m/>
    <n v="9555"/>
    <m/>
    <m/>
    <m/>
    <m/>
    <n v="757"/>
    <n v="710"/>
    <n v="757"/>
    <n v="626"/>
    <m/>
    <m/>
    <m/>
    <m/>
    <m/>
    <n v="84"/>
    <m/>
    <m/>
    <m/>
    <m/>
  </r>
  <r>
    <x v="15"/>
    <s v="West Virginia University Institute of Technology"/>
    <m/>
    <n v="237950"/>
    <x v="5"/>
    <n v="32269"/>
    <n v="32977"/>
    <n v="29837"/>
    <n v="30082"/>
    <n v="936"/>
    <n v="1123"/>
    <n v="1496"/>
    <m/>
    <m/>
    <n v="1735"/>
    <m/>
    <n v="37"/>
    <m/>
    <m/>
    <n v="0"/>
    <n v="0"/>
    <m/>
    <m/>
    <m/>
    <m/>
    <m/>
    <m/>
    <m/>
    <m/>
    <m/>
    <m/>
    <m/>
    <m/>
  </r>
  <r>
    <x v="15"/>
    <s v="Potomac State College of West Virginia University"/>
    <m/>
    <n v="237701"/>
    <x v="11"/>
    <n v="44503"/>
    <n v="45062"/>
    <n v="39718"/>
    <n v="39714"/>
    <n v="3084"/>
    <n v="3169"/>
    <n v="1701"/>
    <m/>
    <m/>
    <n v="2177"/>
    <m/>
    <n v="2"/>
    <m/>
    <m/>
    <n v="0"/>
    <n v="0"/>
    <m/>
    <m/>
    <m/>
    <m/>
    <m/>
    <m/>
    <m/>
    <m/>
    <m/>
    <m/>
    <m/>
    <m/>
  </r>
  <r>
    <x v="15"/>
    <s v="West Virginia University at Parkersburg"/>
    <m/>
    <n v="237686"/>
    <x v="11"/>
    <n v="105288"/>
    <n v="103504"/>
    <n v="63066"/>
    <n v="58448"/>
    <n v="16754"/>
    <n v="15846"/>
    <n v="24240"/>
    <m/>
    <n v="1228"/>
    <n v="28059"/>
    <m/>
    <n v="1151"/>
    <m/>
    <m/>
    <n v="0"/>
    <n v="0"/>
    <m/>
    <m/>
    <m/>
    <m/>
    <m/>
    <m/>
    <m/>
    <m/>
    <m/>
    <m/>
    <m/>
    <m/>
  </r>
  <r>
    <x v="15"/>
    <s v="West Virginia Northern Community College"/>
    <s v="Reclassified: met the criteria for Two-Year 2 in 2009-10, 2010-11 and 2011-12."/>
    <n v="238014"/>
    <x v="7"/>
    <n v="76666"/>
    <n v="71666"/>
    <n v="64578"/>
    <n v="54256"/>
    <m/>
    <m/>
    <n v="9569"/>
    <n v="2519"/>
    <m/>
    <n v="15446"/>
    <n v="1964"/>
    <m/>
    <m/>
    <m/>
    <n v="0"/>
    <n v="0"/>
    <m/>
    <m/>
    <m/>
    <m/>
    <m/>
    <m/>
    <m/>
    <m/>
    <m/>
    <m/>
    <m/>
    <m/>
  </r>
  <r>
    <x v="15"/>
    <s v="Blue Ridge Community &amp; Technical College"/>
    <m/>
    <n v="446774"/>
    <x v="8"/>
    <n v="51702"/>
    <n v="57685"/>
    <n v="26465"/>
    <n v="34001"/>
    <n v="16456"/>
    <n v="12058"/>
    <n v="8445"/>
    <m/>
    <m/>
    <n v="11494"/>
    <m/>
    <n v="132"/>
    <n v="336"/>
    <m/>
    <n v="0"/>
    <n v="0"/>
    <m/>
    <m/>
    <m/>
    <m/>
    <m/>
    <m/>
    <m/>
    <m/>
    <m/>
    <m/>
    <m/>
    <m/>
  </r>
  <r>
    <x v="15"/>
    <s v="Bridgemont Community &amp; Technical College"/>
    <m/>
    <n v="445674"/>
    <x v="8"/>
    <n v="17510"/>
    <n v="17632"/>
    <n v="13773"/>
    <n v="14010"/>
    <n v="730"/>
    <n v="753"/>
    <n v="3007"/>
    <m/>
    <m/>
    <n v="2869"/>
    <m/>
    <m/>
    <m/>
    <m/>
    <n v="0"/>
    <n v="0"/>
    <m/>
    <m/>
    <m/>
    <m/>
    <m/>
    <m/>
    <m/>
    <m/>
    <m/>
    <m/>
    <m/>
    <m/>
  </r>
  <r>
    <x v="15"/>
    <s v="Eastern West Virginia Community &amp; Technical College"/>
    <m/>
    <n v="438708"/>
    <x v="8"/>
    <n v="10754"/>
    <n v="12550"/>
    <n v="6168"/>
    <n v="6820"/>
    <n v="2071"/>
    <n v="2718"/>
    <n v="2449"/>
    <n v="66"/>
    <m/>
    <n v="2823"/>
    <n v="189"/>
    <m/>
    <m/>
    <m/>
    <n v="0"/>
    <n v="0"/>
    <m/>
    <m/>
    <m/>
    <m/>
    <m/>
    <m/>
    <m/>
    <m/>
    <m/>
    <m/>
    <m/>
    <m/>
  </r>
  <r>
    <x v="15"/>
    <s v="Kanawha Valley Community &amp; Technical College"/>
    <m/>
    <n v="445018"/>
    <x v="8"/>
    <n v="36892"/>
    <n v="37414"/>
    <n v="31293"/>
    <n v="31725"/>
    <n v="1767"/>
    <n v="2133"/>
    <n v="3832"/>
    <m/>
    <m/>
    <n v="3556"/>
    <m/>
    <m/>
    <m/>
    <m/>
    <n v="0"/>
    <n v="0"/>
    <m/>
    <m/>
    <m/>
    <m/>
    <m/>
    <m/>
    <m/>
    <m/>
    <m/>
    <m/>
    <m/>
    <m/>
  </r>
  <r>
    <x v="15"/>
    <s v="Mountwest Community &amp; Technical College"/>
    <m/>
    <n v="444954"/>
    <x v="8"/>
    <n v="57724"/>
    <n v="59067"/>
    <n v="30220"/>
    <n v="30412"/>
    <n v="17057"/>
    <n v="17059"/>
    <n v="10447"/>
    <m/>
    <m/>
    <n v="11596"/>
    <m/>
    <m/>
    <m/>
    <m/>
    <n v="0"/>
    <n v="0"/>
    <m/>
    <m/>
    <m/>
    <m/>
    <m/>
    <m/>
    <m/>
    <m/>
    <m/>
    <m/>
    <m/>
    <m/>
  </r>
  <r>
    <x v="15"/>
    <s v="New River Community &amp; Technical College"/>
    <s v="Met criteria for Two-Year 2 in 2010-11 and 2011-12."/>
    <n v="447582"/>
    <x v="8"/>
    <n v="66980"/>
    <n v="63534"/>
    <n v="43791"/>
    <n v="38629"/>
    <n v="5903"/>
    <n v="6848"/>
    <n v="13126"/>
    <n v="4124"/>
    <n v="36"/>
    <n v="13089"/>
    <n v="4914"/>
    <n v="54"/>
    <m/>
    <m/>
    <n v="0"/>
    <n v="0"/>
    <m/>
    <m/>
    <m/>
    <m/>
    <m/>
    <m/>
    <m/>
    <m/>
    <m/>
    <m/>
    <m/>
    <m/>
  </r>
  <r>
    <x v="15"/>
    <s v="Pierpont Community &amp; Technical College"/>
    <s v="Met criteria for Two-Year 2 in 2010-11 and 2011-12."/>
    <n v="443492"/>
    <x v="8"/>
    <n v="65108"/>
    <n v="68299"/>
    <n v="34513"/>
    <n v="35395"/>
    <n v="23070"/>
    <n v="24888"/>
    <n v="7525"/>
    <m/>
    <m/>
    <n v="8016"/>
    <m/>
    <m/>
    <m/>
    <m/>
    <n v="0"/>
    <n v="0"/>
    <m/>
    <m/>
    <m/>
    <m/>
    <m/>
    <m/>
    <m/>
    <m/>
    <m/>
    <m/>
    <m/>
    <m/>
  </r>
  <r>
    <x v="15"/>
    <s v="Southern West Virginia Community &amp; Technical College "/>
    <m/>
    <n v="237817"/>
    <x v="8"/>
    <n v="51996"/>
    <n v="49297"/>
    <n v="38961"/>
    <n v="35936"/>
    <n v="3577"/>
    <n v="3956"/>
    <n v="6090"/>
    <n v="3368"/>
    <m/>
    <n v="7567"/>
    <n v="1838"/>
    <m/>
    <m/>
    <m/>
    <n v="0"/>
    <n v="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0" dataOnRows="1" applyNumberFormats="0" applyBorderFormats="0" applyFontFormats="0" applyPatternFormats="0" applyAlignmentFormats="0" applyWidthHeightFormats="1" dataCaption="Data" updatedVersion="4" showMemberPropertyTips="0" useAutoFormatting="1" colGrandTotals="0" itemPrintTitles="1" createdVersion="1" indent="0" compact="0" compactData="0" gridDropZones="1">
  <location ref="A3:R617" firstHeaderRow="1" firstDataRow="3" firstDataCol="2"/>
  <pivotFields count="74">
    <pivotField axis="axisRow" compact="0" outline="0" subtotalTop="0" showAll="0" includeNewItemsInFilter="1" sortType="ascending">
      <items count="18">
        <item x="0"/>
        <item x="1"/>
        <item x="2"/>
        <item x="3"/>
        <item x="4"/>
        <item m="1" x="16"/>
        <item x="5"/>
        <item x="6"/>
        <item x="7"/>
        <item x="8"/>
        <item x="9"/>
        <item x="10"/>
        <item x="11"/>
        <item x="12"/>
        <item x="13"/>
        <item x="14"/>
        <item x="15"/>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axis="axisCol" compact="0" outline="0" subtotalTop="0" showAll="0" includeNewItemsInFilter="1" defaultSubtotal="0">
      <items count="16">
        <item x="0"/>
        <item x="1"/>
        <item x="2"/>
        <item x="3"/>
        <item x="4"/>
        <item x="5"/>
        <item x="11"/>
        <item x="6"/>
        <item x="7"/>
        <item x="8"/>
        <item x="9"/>
        <item x="10"/>
        <item x="12"/>
        <item h="1" m="1" x="15"/>
        <item h="1" m="1" x="14"/>
        <item h="1" x="13"/>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subtotalCaption="?" compact="0" outline="0" subtotalTop="0" showAll="0" includeNewItemsInFilter="1">
      <items count="6">
        <item n="Four-Year" x="2"/>
        <item n="Two-Year" x="1"/>
        <item n="Technical" x="3"/>
        <item h="1" x="0"/>
        <item h="1" x="4"/>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612">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i t="grand" i="32">
      <x/>
    </i>
    <i t="grand" i="33">
      <x/>
    </i>
    <i t="grand" i="34">
      <x/>
    </i>
    <i t="grand" i="35">
      <x/>
    </i>
  </rowItems>
  <colFields count="2">
    <field x="33"/>
    <field x="4"/>
  </colFields>
  <colItems count="16">
    <i>
      <x/>
      <x/>
    </i>
    <i r="1">
      <x v="1"/>
    </i>
    <i r="1">
      <x v="2"/>
    </i>
    <i r="1">
      <x v="3"/>
    </i>
    <i r="1">
      <x v="4"/>
    </i>
    <i r="1">
      <x v="5"/>
    </i>
    <i r="1">
      <x v="12"/>
    </i>
    <i t="default">
      <x/>
    </i>
    <i>
      <x v="1"/>
      <x v="6"/>
    </i>
    <i r="1">
      <x v="7"/>
    </i>
    <i r="1">
      <x v="8"/>
    </i>
    <i r="1">
      <x v="9"/>
    </i>
    <i t="default">
      <x v="1"/>
    </i>
    <i>
      <x v="2"/>
      <x v="10"/>
    </i>
    <i r="1">
      <x v="11"/>
    </i>
    <i t="default">
      <x v="2"/>
    </i>
  </colItems>
  <dataFields count="36">
    <dataField name=" Old %UG OnC Trad" fld="34" baseField="0" baseItem="0"/>
    <dataField name=" New %UG OnC Trad" fld="35" baseField="0" baseItem="0"/>
    <dataField name=" Change %UG OnC Trad" fld="58" baseField="0" baseItem="0" numFmtId="167"/>
    <dataField name=" Old %UG OffC Trad" fld="37" baseField="0" baseItem="0"/>
    <dataField name=" New %UG OffC Trad" fld="36" baseField="0" baseItem="0"/>
    <dataField name=" Change %UG OffC Trad" fld="61" baseField="0" baseItem="0"/>
    <dataField name=" Old %UG EL Web" fld="42" baseField="0" baseItem="0"/>
    <dataField name=" New %UG EL Web" fld="43" baseField="0" baseItem="0"/>
    <dataField name=" Change %UG EL Web" fld="62" baseField="0" baseItem="0"/>
    <dataField name=" Old %UG EL CV" fld="49" baseField="0" baseItem="0"/>
    <dataField name=" New %UG EL CV" fld="48" baseField="0" baseItem="0"/>
    <dataField name=" Change %UG EL CV" fld="65" baseField="0" baseItem="0"/>
    <dataField name=" Old %UG EL O" fld="50" baseField="0" baseItem="0"/>
    <dataField name=" New %UG EL O" fld="51" baseField="0" baseItem="0"/>
    <dataField name=" Change %UG EL O" fld="66" baseField="0" baseItem="0"/>
    <dataField name=" Old %UG Cor" fld="57" baseField="0" baseItem="0"/>
    <dataField name=" New %UG Cor" fld="56" baseField="0" baseItem="0"/>
    <dataField name=" Change %UG Cor" fld="69" baseField="0" baseItem="0"/>
    <dataField name=" Old %G OnC Trad" fld="39" baseField="0" baseItem="0"/>
    <dataField name=" New %G OnC Trad" fld="40" baseField="0" baseItem="0"/>
    <dataField name=" Change %G OnC Trad" fld="59" baseField="0" baseItem="0"/>
    <dataField name=" Old %G OffC Trad" fld="38" baseField="0" baseItem="0"/>
    <dataField name=" New %G OffC Trad" fld="41" baseField="0" baseItem="0"/>
    <dataField name=" Change %G OffC Trad" fld="60" baseField="0" baseItem="0"/>
    <dataField name=" Old %G EL Web" fld="45" baseField="0" baseItem="0"/>
    <dataField name=" New %G EL Web" fld="44" baseField="0" baseItem="0"/>
    <dataField name=" Change %G EL Web" fld="63" baseField="0" baseItem="0"/>
    <dataField name=" Old %G EL CV" fld="46" baseField="0" baseItem="0"/>
    <dataField name=" New %G EL CV" fld="47" baseField="0" baseItem="0"/>
    <dataField name=" Change %G EL CV" fld="64" baseField="0" baseItem="0"/>
    <dataField name=" Old %G EL O" fld="53" baseField="0" baseItem="0"/>
    <dataField name=" New %G EL O" fld="52" baseField="0" baseItem="0"/>
    <dataField name=" Change %G EL O" fld="67" baseField="0" baseItem="0"/>
    <dataField name=" Old %G Cor" fld="54" baseField="0" baseItem="0"/>
    <dataField name=" New %G Cor" fld="55" baseField="0" baseItem="0"/>
    <dataField name=" Change %G Cor" fld="68" baseField="0" baseItem="0"/>
  </dataFields>
  <formats count="641">
    <format dxfId="813">
      <pivotArea field="4" type="button" dataOnly="0" labelOnly="1" outline="0" axis="axisCol" fieldPosition="1"/>
    </format>
    <format dxfId="812">
      <pivotArea type="topRight" dataOnly="0" labelOnly="1" outline="0" fieldPosition="0"/>
    </format>
    <format dxfId="811">
      <pivotArea dataOnly="0" labelOnly="1" grandCol="1" outline="0" fieldPosition="0"/>
    </format>
    <format dxfId="810">
      <pivotArea outline="0" fieldPosition="0"/>
    </format>
    <format dxfId="809">
      <pivotArea dataOnly="0" labelOnly="1" outline="0" offset="IV256" fieldPosition="0">
        <references count="1">
          <reference field="0" count="1">
            <x v="8"/>
          </reference>
        </references>
      </pivotArea>
    </format>
    <format dxfId="808">
      <pivotArea dataOnly="0" labelOnly="1" outline="0" offset="IV256" fieldPosition="0">
        <references count="1">
          <reference field="0" count="1">
            <x v="9"/>
          </reference>
        </references>
      </pivotArea>
    </format>
    <format dxfId="807">
      <pivotArea dataOnly="0" labelOnly="1" outline="0" offset="IV256" fieldPosition="0">
        <references count="1">
          <reference field="0" count="1">
            <x v="10"/>
          </reference>
        </references>
      </pivotArea>
    </format>
    <format dxfId="806">
      <pivotArea dataOnly="0" labelOnly="1" outline="0" offset="IV256" fieldPosition="0">
        <references count="1">
          <reference field="0" count="1">
            <x v="11"/>
          </reference>
        </references>
      </pivotArea>
    </format>
    <format dxfId="805">
      <pivotArea dataOnly="0" labelOnly="1" outline="0" offset="IV256" fieldPosition="0">
        <references count="1">
          <reference field="0" count="1">
            <x v="12"/>
          </reference>
        </references>
      </pivotArea>
    </format>
    <format dxfId="804">
      <pivotArea dataOnly="0" labelOnly="1" outline="0" offset="IV256" fieldPosition="0">
        <references count="1">
          <reference field="0" count="1">
            <x v="13"/>
          </reference>
        </references>
      </pivotArea>
    </format>
    <format dxfId="803">
      <pivotArea dataOnly="0" labelOnly="1" outline="0" offset="IV256" fieldPosition="0">
        <references count="1">
          <reference field="0" count="1">
            <x v="14"/>
          </reference>
        </references>
      </pivotArea>
    </format>
    <format dxfId="802">
      <pivotArea dataOnly="0" labelOnly="1" outline="0" fieldPosition="0">
        <references count="1">
          <reference field="0" count="0"/>
        </references>
      </pivotArea>
    </format>
    <format dxfId="801">
      <pivotArea dataOnly="0" labelOnly="1" outline="0" offset="IV1" fieldPosition="0">
        <references count="1">
          <reference field="0" count="1">
            <x v="0"/>
          </reference>
        </references>
      </pivotArea>
    </format>
    <format dxfId="800">
      <pivotArea type="origin" dataOnly="0" labelOnly="1" outline="0" fieldPosition="0"/>
    </format>
    <format dxfId="799">
      <pivotArea field="0" type="button" dataOnly="0" labelOnly="1" outline="0" axis="axisRow" fieldPosition="0"/>
    </format>
    <format dxfId="798">
      <pivotArea field="-2" type="button" dataOnly="0" labelOnly="1" outline="0" axis="axisRow" fieldPosition="1"/>
    </format>
    <format dxfId="797">
      <pivotArea field="4" type="button" dataOnly="0" labelOnly="1" outline="0" axis="axisCol" fieldPosition="1"/>
    </format>
    <format dxfId="796">
      <pivotArea type="topRight" dataOnly="0" labelOnly="1" outline="0" fieldPosition="0"/>
    </format>
    <format dxfId="795">
      <pivotArea dataOnly="0" labelOnly="1" outline="0" offset="IV5:IV6" fieldPosition="0">
        <references count="1">
          <reference field="0" count="1">
            <x v="1"/>
          </reference>
        </references>
      </pivotArea>
    </format>
    <format dxfId="794">
      <pivotArea dataOnly="0" labelOnly="1" outline="0" offset="IV7:IV8" fieldPosition="0">
        <references count="1">
          <reference field="0" count="1">
            <x v="1"/>
          </reference>
        </references>
      </pivotArea>
    </format>
    <format dxfId="793">
      <pivotArea dataOnly="0" labelOnly="1" outline="0" offset="IV9:IV10" fieldPosition="0">
        <references count="1">
          <reference field="0" count="1">
            <x v="1"/>
          </reference>
        </references>
      </pivotArea>
    </format>
    <format dxfId="792">
      <pivotArea dataOnly="0" labelOnly="1" outline="0" offset="IV11:IV12" fieldPosition="0">
        <references count="1">
          <reference field="0" count="1">
            <x v="1"/>
          </reference>
        </references>
      </pivotArea>
    </format>
    <format dxfId="791">
      <pivotArea dataOnly="0" labelOnly="1" outline="0" offset="IV5:IV12" fieldPosition="0">
        <references count="1">
          <reference field="0" count="1">
            <x v="1"/>
          </reference>
        </references>
      </pivotArea>
    </format>
    <format dxfId="790">
      <pivotArea dataOnly="0" labelOnly="1" outline="0" offset="IV256" fieldPosition="0">
        <references count="1">
          <reference field="0" count="1">
            <x v="0"/>
          </reference>
        </references>
      </pivotArea>
    </format>
    <format dxfId="789">
      <pivotArea dataOnly="0" labelOnly="1" grandCol="1" outline="0" offset="IV256" fieldPosition="0"/>
    </format>
    <format dxfId="788">
      <pivotArea dataOnly="0" labelOnly="1" outline="0" fieldPosition="0">
        <references count="2">
          <reference field="4294967294" count="1">
            <x v="2"/>
          </reference>
          <reference field="0" count="1" selected="0">
            <x v="0"/>
          </reference>
        </references>
      </pivotArea>
    </format>
    <format dxfId="787">
      <pivotArea dataOnly="0" labelOnly="1" outline="0" fieldPosition="0">
        <references count="2">
          <reference field="4294967294" count="1">
            <x v="5"/>
          </reference>
          <reference field="0" count="1" selected="0">
            <x v="1"/>
          </reference>
        </references>
      </pivotArea>
    </format>
    <format dxfId="786">
      <pivotArea dataOnly="0" labelOnly="1" outline="0" fieldPosition="0">
        <references count="2">
          <reference field="4294967294" count="1">
            <x v="8"/>
          </reference>
          <reference field="0" count="1" selected="0">
            <x v="1"/>
          </reference>
        </references>
      </pivotArea>
    </format>
    <format dxfId="785">
      <pivotArea dataOnly="0" labelOnly="1" outline="0" fieldPosition="0">
        <references count="2">
          <reference field="4294967294" count="1">
            <x v="11"/>
          </reference>
          <reference field="0" count="1" selected="0">
            <x v="1"/>
          </reference>
        </references>
      </pivotArea>
    </format>
    <format dxfId="784">
      <pivotArea dataOnly="0" labelOnly="1" outline="0" fieldPosition="0">
        <references count="2">
          <reference field="4294967294" count="1">
            <x v="14"/>
          </reference>
          <reference field="0" count="1" selected="0">
            <x v="1"/>
          </reference>
        </references>
      </pivotArea>
    </format>
    <format dxfId="783">
      <pivotArea dataOnly="0" labelOnly="1" outline="0" fieldPosition="0">
        <references count="2">
          <reference field="4294967294" count="1">
            <x v="17"/>
          </reference>
          <reference field="0" count="1" selected="0">
            <x v="1"/>
          </reference>
        </references>
      </pivotArea>
    </format>
    <format dxfId="782">
      <pivotArea dataOnly="0" labelOnly="1" outline="0" fieldPosition="0">
        <references count="2">
          <reference field="4294967294" count="1">
            <x v="20"/>
          </reference>
          <reference field="0" count="1" selected="0">
            <x v="1"/>
          </reference>
        </references>
      </pivotArea>
    </format>
    <format dxfId="781">
      <pivotArea dataOnly="0" labelOnly="1" outline="0" fieldPosition="0">
        <references count="2">
          <reference field="4294967294" count="1">
            <x v="23"/>
          </reference>
          <reference field="0" count="1" selected="0">
            <x v="1"/>
          </reference>
        </references>
      </pivotArea>
    </format>
    <format dxfId="780">
      <pivotArea dataOnly="0" labelOnly="1" outline="0" fieldPosition="0">
        <references count="2">
          <reference field="4294967294" count="1">
            <x v="26"/>
          </reference>
          <reference field="0" count="1" selected="0">
            <x v="1"/>
          </reference>
        </references>
      </pivotArea>
    </format>
    <format dxfId="779">
      <pivotArea dataOnly="0" labelOnly="1" outline="0" fieldPosition="0">
        <references count="2">
          <reference field="4294967294" count="1">
            <x v="29"/>
          </reference>
          <reference field="0" count="1" selected="0">
            <x v="1"/>
          </reference>
        </references>
      </pivotArea>
    </format>
    <format dxfId="778">
      <pivotArea dataOnly="0" labelOnly="1" outline="0" fieldPosition="0">
        <references count="2">
          <reference field="4294967294" count="1">
            <x v="32"/>
          </reference>
          <reference field="0" count="1" selected="0">
            <x v="1"/>
          </reference>
        </references>
      </pivotArea>
    </format>
    <format dxfId="777">
      <pivotArea dataOnly="0" labelOnly="1" outline="0" fieldPosition="0">
        <references count="2">
          <reference field="4294967294" count="1">
            <x v="35"/>
          </reference>
          <reference field="0" count="1" selected="0">
            <x v="1"/>
          </reference>
        </references>
      </pivotArea>
    </format>
    <format dxfId="776">
      <pivotArea outline="0" fieldPosition="0">
        <references count="2">
          <reference field="4294967294" count="1" selected="0">
            <x v="35"/>
          </reference>
          <reference field="0" count="1" selected="0">
            <x v="1"/>
          </reference>
        </references>
      </pivotArea>
    </format>
    <format dxfId="775">
      <pivotArea outline="0" fieldPosition="0">
        <references count="3">
          <reference field="4294967294" count="1" selected="0">
            <x v="34"/>
          </reference>
          <reference field="0" count="1" selected="0">
            <x v="0"/>
          </reference>
          <reference field="33" count="1" selected="0" defaultSubtotal="1">
            <x v="0"/>
          </reference>
        </references>
      </pivotArea>
    </format>
    <format dxfId="774">
      <pivotArea outline="0" fieldPosition="0">
        <references count="4">
          <reference field="4294967294" count="3" selected="0">
            <x v="24"/>
            <x v="25"/>
            <x v="26"/>
          </reference>
          <reference field="0" count="1" selected="0">
            <x v="11"/>
          </reference>
          <reference field="4" count="1" selected="0">
            <x v="0"/>
          </reference>
          <reference field="33" count="1" selected="0">
            <x v="0"/>
          </reference>
        </references>
      </pivotArea>
    </format>
    <format dxfId="773">
      <pivotArea outline="0" fieldPosition="0">
        <references count="2">
          <reference field="4294967294" count="1" selected="0">
            <x v="2"/>
          </reference>
          <reference field="0" count="1" selected="0">
            <x v="0"/>
          </reference>
        </references>
      </pivotArea>
    </format>
    <format dxfId="772">
      <pivotArea outline="0" fieldPosition="0">
        <references count="4">
          <reference field="4294967294" count="1" selected="0">
            <x v="5"/>
          </reference>
          <reference field="0" count="1" selected="0">
            <x v="1"/>
          </reference>
          <reference field="4" count="1" selected="0">
            <x v="1"/>
          </reference>
          <reference field="33" count="1" selected="0">
            <x v="0"/>
          </reference>
        </references>
      </pivotArea>
    </format>
    <format dxfId="771">
      <pivotArea outline="0" fieldPosition="0">
        <references count="4">
          <reference field="4294967294" count="1" selected="0">
            <x v="8"/>
          </reference>
          <reference field="0" count="1" selected="0">
            <x v="1"/>
          </reference>
          <reference field="4" count="1" selected="0">
            <x v="1"/>
          </reference>
          <reference field="33" count="1" selected="0">
            <x v="0"/>
          </reference>
        </references>
      </pivotArea>
    </format>
    <format dxfId="770">
      <pivotArea outline="0" fieldPosition="0">
        <references count="4">
          <reference field="4294967294" count="1" selected="0">
            <x v="11"/>
          </reference>
          <reference field="0" count="1" selected="0">
            <x v="1"/>
          </reference>
          <reference field="4" count="1" selected="0">
            <x v="1"/>
          </reference>
          <reference field="33" count="1" selected="0">
            <x v="0"/>
          </reference>
        </references>
      </pivotArea>
    </format>
    <format dxfId="769">
      <pivotArea outline="0" fieldPosition="0">
        <references count="4">
          <reference field="4294967294" count="1" selected="0">
            <x v="14"/>
          </reference>
          <reference field="0" count="1" selected="0">
            <x v="1"/>
          </reference>
          <reference field="4" count="1" selected="0">
            <x v="1"/>
          </reference>
          <reference field="33" count="1" selected="0">
            <x v="0"/>
          </reference>
        </references>
      </pivotArea>
    </format>
    <format dxfId="768">
      <pivotArea outline="0" fieldPosition="0">
        <references count="4">
          <reference field="4294967294" count="1" selected="0">
            <x v="17"/>
          </reference>
          <reference field="0" count="1" selected="0">
            <x v="1"/>
          </reference>
          <reference field="4" count="1" selected="0">
            <x v="1"/>
          </reference>
          <reference field="33" count="1" selected="0">
            <x v="0"/>
          </reference>
        </references>
      </pivotArea>
    </format>
    <format dxfId="767">
      <pivotArea outline="0" fieldPosition="0">
        <references count="4">
          <reference field="4294967294" count="1" selected="0">
            <x v="20"/>
          </reference>
          <reference field="0" count="1" selected="0">
            <x v="1"/>
          </reference>
          <reference field="4" count="1" selected="0">
            <x v="1"/>
          </reference>
          <reference field="33" count="1" selected="0">
            <x v="0"/>
          </reference>
        </references>
      </pivotArea>
    </format>
    <format dxfId="766">
      <pivotArea outline="0" fieldPosition="0">
        <references count="4">
          <reference field="4294967294" count="1" selected="0">
            <x v="23"/>
          </reference>
          <reference field="0" count="1" selected="0">
            <x v="1"/>
          </reference>
          <reference field="4" count="1" selected="0">
            <x v="1"/>
          </reference>
          <reference field="33" count="1" selected="0">
            <x v="0"/>
          </reference>
        </references>
      </pivotArea>
    </format>
    <format dxfId="765">
      <pivotArea outline="0" fieldPosition="0">
        <references count="4">
          <reference field="4294967294" count="1" selected="0">
            <x v="26"/>
          </reference>
          <reference field="0" count="1" selected="0">
            <x v="1"/>
          </reference>
          <reference field="4" count="1" selected="0">
            <x v="1"/>
          </reference>
          <reference field="33" count="1" selected="0">
            <x v="0"/>
          </reference>
        </references>
      </pivotArea>
    </format>
    <format dxfId="764">
      <pivotArea outline="0" fieldPosition="0">
        <references count="4">
          <reference field="4294967294" count="1" selected="0">
            <x v="29"/>
          </reference>
          <reference field="0" count="1" selected="0">
            <x v="1"/>
          </reference>
          <reference field="4" count="1" selected="0">
            <x v="1"/>
          </reference>
          <reference field="33" count="1" selected="0">
            <x v="0"/>
          </reference>
        </references>
      </pivotArea>
    </format>
    <format dxfId="763">
      <pivotArea outline="0" fieldPosition="0">
        <references count="4">
          <reference field="4294967294" count="1" selected="0">
            <x v="32"/>
          </reference>
          <reference field="0" count="1" selected="0">
            <x v="1"/>
          </reference>
          <reference field="4" count="1" selected="0">
            <x v="1"/>
          </reference>
          <reference field="33" count="1" selected="0">
            <x v="0"/>
          </reference>
        </references>
      </pivotArea>
    </format>
    <format dxfId="762">
      <pivotArea outline="0" fieldPosition="0">
        <references count="4">
          <reference field="4294967294" count="1" selected="0">
            <x v="35"/>
          </reference>
          <reference field="0" count="1" selected="0">
            <x v="1"/>
          </reference>
          <reference field="4" count="1" selected="0">
            <x v="1"/>
          </reference>
          <reference field="33" count="1" selected="0">
            <x v="0"/>
          </reference>
        </references>
      </pivotArea>
    </format>
    <format dxfId="761">
      <pivotArea outline="0" fieldPosition="0">
        <references count="4">
          <reference field="4294967294" count="1" selected="0">
            <x v="2"/>
          </reference>
          <reference field="0" count="1" selected="0">
            <x v="3"/>
          </reference>
          <reference field="4" count="1" selected="0">
            <x v="0"/>
          </reference>
          <reference field="33" count="1" selected="0">
            <x v="0"/>
          </reference>
        </references>
      </pivotArea>
    </format>
    <format dxfId="760">
      <pivotArea outline="0" fieldPosition="0">
        <references count="4">
          <reference field="4294967294" count="1" selected="0">
            <x v="5"/>
          </reference>
          <reference field="0" count="1" selected="0">
            <x v="3"/>
          </reference>
          <reference field="4" count="1" selected="0">
            <x v="0"/>
          </reference>
          <reference field="33" count="1" selected="0">
            <x v="0"/>
          </reference>
        </references>
      </pivotArea>
    </format>
    <format dxfId="759">
      <pivotArea outline="0" fieldPosition="0">
        <references count="4">
          <reference field="4294967294" count="1" selected="0">
            <x v="8"/>
          </reference>
          <reference field="0" count="1" selected="0">
            <x v="3"/>
          </reference>
          <reference field="4" count="1" selected="0">
            <x v="0"/>
          </reference>
          <reference field="33" count="1" selected="0">
            <x v="0"/>
          </reference>
        </references>
      </pivotArea>
    </format>
    <format dxfId="758">
      <pivotArea outline="0" fieldPosition="0">
        <references count="4">
          <reference field="4294967294" count="1" selected="0">
            <x v="11"/>
          </reference>
          <reference field="0" count="1" selected="0">
            <x v="3"/>
          </reference>
          <reference field="4" count="1" selected="0">
            <x v="0"/>
          </reference>
          <reference field="33" count="1" selected="0">
            <x v="0"/>
          </reference>
        </references>
      </pivotArea>
    </format>
    <format dxfId="757">
      <pivotArea outline="0" fieldPosition="0">
        <references count="4">
          <reference field="4294967294" count="1" selected="0">
            <x v="14"/>
          </reference>
          <reference field="0" count="1" selected="0">
            <x v="3"/>
          </reference>
          <reference field="4" count="1" selected="0">
            <x v="0"/>
          </reference>
          <reference field="33" count="1" selected="0">
            <x v="0"/>
          </reference>
        </references>
      </pivotArea>
    </format>
    <format dxfId="756">
      <pivotArea outline="0" fieldPosition="0">
        <references count="4">
          <reference field="4294967294" count="1" selected="0">
            <x v="17"/>
          </reference>
          <reference field="0" count="1" selected="0">
            <x v="3"/>
          </reference>
          <reference field="4" count="1" selected="0">
            <x v="0"/>
          </reference>
          <reference field="33" count="1" selected="0">
            <x v="0"/>
          </reference>
        </references>
      </pivotArea>
    </format>
    <format dxfId="755">
      <pivotArea outline="0" fieldPosition="0">
        <references count="4">
          <reference field="4294967294" count="1" selected="0">
            <x v="20"/>
          </reference>
          <reference field="0" count="1" selected="0">
            <x v="3"/>
          </reference>
          <reference field="4" count="1" selected="0">
            <x v="0"/>
          </reference>
          <reference field="33" count="1" selected="0">
            <x v="0"/>
          </reference>
        </references>
      </pivotArea>
    </format>
    <format dxfId="754">
      <pivotArea outline="0" fieldPosition="0">
        <references count="4">
          <reference field="4294967294" count="1" selected="0">
            <x v="23"/>
          </reference>
          <reference field="0" count="1" selected="0">
            <x v="3"/>
          </reference>
          <reference field="4" count="1" selected="0">
            <x v="0"/>
          </reference>
          <reference field="33" count="1" selected="0">
            <x v="0"/>
          </reference>
        </references>
      </pivotArea>
    </format>
    <format dxfId="753">
      <pivotArea outline="0" fieldPosition="0">
        <references count="4">
          <reference field="4294967294" count="1" selected="0">
            <x v="26"/>
          </reference>
          <reference field="0" count="1" selected="0">
            <x v="3"/>
          </reference>
          <reference field="4" count="1" selected="0">
            <x v="0"/>
          </reference>
          <reference field="33" count="1" selected="0">
            <x v="0"/>
          </reference>
        </references>
      </pivotArea>
    </format>
    <format dxfId="752">
      <pivotArea outline="0" fieldPosition="0">
        <references count="4">
          <reference field="4294967294" count="1" selected="0">
            <x v="29"/>
          </reference>
          <reference field="0" count="1" selected="0">
            <x v="3"/>
          </reference>
          <reference field="4" count="1" selected="0">
            <x v="0"/>
          </reference>
          <reference field="33" count="1" selected="0">
            <x v="0"/>
          </reference>
        </references>
      </pivotArea>
    </format>
    <format dxfId="751">
      <pivotArea outline="0" fieldPosition="0">
        <references count="4">
          <reference field="4294967294" count="1" selected="0">
            <x v="32"/>
          </reference>
          <reference field="0" count="1" selected="0">
            <x v="3"/>
          </reference>
          <reference field="4" count="1" selected="0">
            <x v="0"/>
          </reference>
          <reference field="33" count="1" selected="0">
            <x v="0"/>
          </reference>
        </references>
      </pivotArea>
    </format>
    <format dxfId="750">
      <pivotArea outline="0" fieldPosition="0">
        <references count="4">
          <reference field="4294967294" count="1" selected="0">
            <x v="35"/>
          </reference>
          <reference field="0" count="1" selected="0">
            <x v="3"/>
          </reference>
          <reference field="4" count="1" selected="0">
            <x v="0"/>
          </reference>
          <reference field="33" count="1" selected="0">
            <x v="0"/>
          </reference>
        </references>
      </pivotArea>
    </format>
    <format dxfId="749">
      <pivotArea outline="0" fieldPosition="0">
        <references count="4">
          <reference field="4294967294" count="2" selected="0">
            <x v="33"/>
            <x v="34"/>
          </reference>
          <reference field="0" count="1" selected="0">
            <x v="3"/>
          </reference>
          <reference field="4" count="1" selected="0">
            <x v="0"/>
          </reference>
          <reference field="33" count="1" selected="0">
            <x v="0"/>
          </reference>
        </references>
      </pivotArea>
    </format>
    <format dxfId="748">
      <pivotArea outline="0" fieldPosition="0">
        <references count="4">
          <reference field="4294967294" count="1" selected="0">
            <x v="33"/>
          </reference>
          <reference field="0" count="1" selected="0">
            <x v="3"/>
          </reference>
          <reference field="4" count="1" selected="0">
            <x v="0"/>
          </reference>
          <reference field="33" count="1" selected="0">
            <x v="0"/>
          </reference>
        </references>
      </pivotArea>
    </format>
    <format dxfId="747">
      <pivotArea outline="0" fieldPosition="0">
        <references count="3">
          <reference field="4294967294" count="1" selected="0">
            <x v="34"/>
          </reference>
          <reference field="0" count="1" selected="0">
            <x v="3"/>
          </reference>
          <reference field="33" count="1" selected="0" defaultSubtotal="1">
            <x v="0"/>
          </reference>
        </references>
      </pivotArea>
    </format>
    <format dxfId="746">
      <pivotArea outline="0" fieldPosition="0">
        <references count="3">
          <reference field="4294967294" count="1" selected="0">
            <x v="33"/>
          </reference>
          <reference field="0" count="1" selected="0">
            <x v="3"/>
          </reference>
          <reference field="33" count="1" selected="0" defaultSubtotal="1">
            <x v="0"/>
          </reference>
        </references>
      </pivotArea>
    </format>
    <format dxfId="745">
      <pivotArea outline="0" fieldPosition="0">
        <references count="4">
          <reference field="4294967294" count="3" selected="0">
            <x v="0"/>
            <x v="1"/>
            <x v="2"/>
          </reference>
          <reference field="0" count="1" selected="0">
            <x v="3"/>
          </reference>
          <reference field="4" count="1" selected="0">
            <x v="5"/>
          </reference>
          <reference field="33" count="1" selected="0">
            <x v="0"/>
          </reference>
        </references>
      </pivotArea>
    </format>
    <format dxfId="744">
      <pivotArea outline="0" fieldPosition="0">
        <references count="4">
          <reference field="4294967294" count="3" selected="0">
            <x v="3"/>
            <x v="4"/>
            <x v="5"/>
          </reference>
          <reference field="0" count="1" selected="0">
            <x v="3"/>
          </reference>
          <reference field="4" count="1" selected="0">
            <x v="5"/>
          </reference>
          <reference field="33" count="1" selected="0">
            <x v="0"/>
          </reference>
        </references>
      </pivotArea>
    </format>
    <format dxfId="743">
      <pivotArea outline="0" fieldPosition="0">
        <references count="4">
          <reference field="4294967294" count="1" selected="0">
            <x v="9"/>
          </reference>
          <reference field="0" count="1" selected="0">
            <x v="4"/>
          </reference>
          <reference field="4" count="1" selected="0">
            <x v="0"/>
          </reference>
          <reference field="33" count="1" selected="0">
            <x v="0"/>
          </reference>
        </references>
      </pivotArea>
    </format>
    <format dxfId="742">
      <pivotArea outline="0" fieldPosition="0">
        <references count="4">
          <reference field="4294967294" count="1" selected="0">
            <x v="13"/>
          </reference>
          <reference field="0" count="1" selected="0">
            <x v="4"/>
          </reference>
          <reference field="4" count="1" selected="0">
            <x v="0"/>
          </reference>
          <reference field="33" count="1" selected="0">
            <x v="0"/>
          </reference>
        </references>
      </pivotArea>
    </format>
    <format dxfId="741">
      <pivotArea outline="0" fieldPosition="0">
        <references count="4">
          <reference field="4294967294" count="1" selected="0">
            <x v="15"/>
          </reference>
          <reference field="0" count="1" selected="0">
            <x v="4"/>
          </reference>
          <reference field="4" count="1" selected="0">
            <x v="3"/>
          </reference>
          <reference field="33" count="1" selected="0">
            <x v="0"/>
          </reference>
        </references>
      </pivotArea>
    </format>
    <format dxfId="740">
      <pivotArea outline="0" fieldPosition="0">
        <references count="4">
          <reference field="4294967294" count="3" selected="0">
            <x v="0"/>
            <x v="1"/>
            <x v="2"/>
          </reference>
          <reference field="0" count="1" selected="0">
            <x v="6"/>
          </reference>
          <reference field="4" count="1" selected="0">
            <x v="1"/>
          </reference>
          <reference field="33" count="1" selected="0">
            <x v="0"/>
          </reference>
        </references>
      </pivotArea>
    </format>
    <format dxfId="739">
      <pivotArea outline="0" fieldPosition="0">
        <references count="4">
          <reference field="4294967294" count="3" selected="0">
            <x v="21"/>
            <x v="22"/>
            <x v="23"/>
          </reference>
          <reference field="0" count="1" selected="0">
            <x v="9"/>
          </reference>
          <reference field="4" count="1" selected="0">
            <x v="2"/>
          </reference>
          <reference field="33" count="1" selected="0">
            <x v="0"/>
          </reference>
        </references>
      </pivotArea>
    </format>
    <format dxfId="738">
      <pivotArea outline="0" fieldPosition="0">
        <references count="4">
          <reference field="4294967294" count="3" selected="0">
            <x v="21"/>
            <x v="22"/>
            <x v="23"/>
          </reference>
          <reference field="0" count="1" selected="0">
            <x v="10"/>
          </reference>
          <reference field="4" count="1" selected="0">
            <x v="3"/>
          </reference>
          <reference field="33" count="1" selected="0">
            <x v="0"/>
          </reference>
        </references>
      </pivotArea>
    </format>
    <format dxfId="737">
      <pivotArea outline="0" fieldPosition="0">
        <references count="4">
          <reference field="4294967294" count="3" selected="0">
            <x v="24"/>
            <x v="25"/>
            <x v="26"/>
          </reference>
          <reference field="0" count="1" selected="0">
            <x v="10"/>
          </reference>
          <reference field="4" count="1" selected="0">
            <x v="3"/>
          </reference>
          <reference field="33" count="1" selected="0">
            <x v="0"/>
          </reference>
        </references>
      </pivotArea>
    </format>
    <format dxfId="736">
      <pivotArea outline="0" fieldPosition="0">
        <references count="4">
          <reference field="4294967294" count="3" selected="0">
            <x v="3"/>
            <x v="4"/>
            <x v="5"/>
          </reference>
          <reference field="0" count="1" selected="0">
            <x v="16"/>
          </reference>
          <reference field="4" count="1" selected="0">
            <x v="5"/>
          </reference>
          <reference field="33" count="1" selected="0">
            <x v="0"/>
          </reference>
        </references>
      </pivotArea>
    </format>
    <format dxfId="735">
      <pivotArea outline="0" fieldPosition="0">
        <references count="3">
          <reference field="4294967294" count="1" selected="0">
            <x v="31"/>
          </reference>
          <reference field="0" count="1" selected="0">
            <x v="16"/>
          </reference>
          <reference field="33" count="1" selected="0" defaultSubtotal="1">
            <x v="0"/>
          </reference>
        </references>
      </pivotArea>
    </format>
    <format dxfId="734">
      <pivotArea outline="0" fieldPosition="0">
        <references count="4">
          <reference field="4294967294" count="1" selected="0">
            <x v="31"/>
          </reference>
          <reference field="0" count="1" selected="0">
            <x v="16"/>
          </reference>
          <reference field="4" count="1" selected="0">
            <x v="0"/>
          </reference>
          <reference field="33" count="1" selected="0">
            <x v="0"/>
          </reference>
        </references>
      </pivotArea>
    </format>
    <format dxfId="733">
      <pivotArea outline="0" fieldPosition="0">
        <references count="4">
          <reference field="4294967294" count="1" selected="0">
            <x v="31"/>
          </reference>
          <reference field="0" count="1" selected="0">
            <x v="14"/>
          </reference>
          <reference field="4" count="1" selected="0">
            <x v="3"/>
          </reference>
          <reference field="33" count="1" selected="0">
            <x v="0"/>
          </reference>
        </references>
      </pivotArea>
    </format>
    <format dxfId="732">
      <pivotArea outline="0" fieldPosition="0">
        <references count="4">
          <reference field="4294967294" count="1" selected="0">
            <x v="33"/>
          </reference>
          <reference field="0" count="1" selected="0">
            <x v="11"/>
          </reference>
          <reference field="4" count="1" selected="0">
            <x v="0"/>
          </reference>
          <reference field="33" count="1" selected="0">
            <x v="0"/>
          </reference>
        </references>
      </pivotArea>
    </format>
    <format dxfId="731">
      <pivotArea outline="0" fieldPosition="0">
        <references count="4">
          <reference field="4294967294" count="1" selected="0">
            <x v="31"/>
          </reference>
          <reference field="0" count="1" selected="0">
            <x v="11"/>
          </reference>
          <reference field="4" count="1" selected="0">
            <x v="0"/>
          </reference>
          <reference field="33" count="1" selected="0">
            <x v="0"/>
          </reference>
        </references>
      </pivotArea>
    </format>
    <format dxfId="730">
      <pivotArea outline="0" fieldPosition="0">
        <references count="4">
          <reference field="4294967294" count="1" selected="0">
            <x v="13"/>
          </reference>
          <reference field="0" count="1" selected="0">
            <x v="11"/>
          </reference>
          <reference field="4" count="1" selected="0">
            <x v="5"/>
          </reference>
          <reference field="33" count="1" selected="0">
            <x v="0"/>
          </reference>
        </references>
      </pivotArea>
    </format>
    <format dxfId="729">
      <pivotArea outline="0" fieldPosition="0">
        <references count="4">
          <reference field="4294967294" count="1" selected="0">
            <x v="10"/>
          </reference>
          <reference field="0" count="1" selected="0">
            <x v="11"/>
          </reference>
          <reference field="4" count="1" selected="0">
            <x v="2"/>
          </reference>
          <reference field="33" count="1" selected="0">
            <x v="0"/>
          </reference>
        </references>
      </pivotArea>
    </format>
    <format dxfId="728">
      <pivotArea outline="0" fieldPosition="0">
        <references count="4">
          <reference field="4294967294" count="1" selected="0">
            <x v="31"/>
          </reference>
          <reference field="0" count="1" selected="0">
            <x v="10"/>
          </reference>
          <reference field="4" count="1" selected="0">
            <x v="0"/>
          </reference>
          <reference field="33" count="1" selected="0">
            <x v="0"/>
          </reference>
        </references>
      </pivotArea>
    </format>
    <format dxfId="727">
      <pivotArea outline="0" fieldPosition="0">
        <references count="4">
          <reference field="4294967294" count="1" selected="0">
            <x v="12"/>
          </reference>
          <reference field="0" count="1" selected="0">
            <x v="10"/>
          </reference>
          <reference field="4" count="1" selected="0">
            <x v="2"/>
          </reference>
          <reference field="33" count="1" selected="0">
            <x v="0"/>
          </reference>
        </references>
      </pivotArea>
    </format>
    <format dxfId="726">
      <pivotArea outline="0" fieldPosition="0">
        <references count="4">
          <reference field="4294967294" count="2" selected="0">
            <x v="9"/>
            <x v="10"/>
          </reference>
          <reference field="0" count="1" selected="0">
            <x v="10"/>
          </reference>
          <reference field="4" count="2" selected="0">
            <x v="1"/>
            <x v="2"/>
          </reference>
          <reference field="33" count="1" selected="0">
            <x v="0"/>
          </reference>
        </references>
      </pivotArea>
    </format>
    <format dxfId="725">
      <pivotArea outline="0" fieldPosition="0">
        <references count="4">
          <reference field="4294967294" count="1" selected="0">
            <x v="33"/>
          </reference>
          <reference field="0" count="1" selected="0">
            <x v="9"/>
          </reference>
          <reference field="4" count="1" selected="0">
            <x v="0"/>
          </reference>
          <reference field="33" count="1" selected="0">
            <x v="0"/>
          </reference>
        </references>
      </pivotArea>
    </format>
    <format dxfId="724">
      <pivotArea outline="0" fieldPosition="0">
        <references count="4">
          <reference field="4294967294" count="1" selected="0">
            <x v="34"/>
          </reference>
          <reference field="0" count="1" selected="0">
            <x v="9"/>
          </reference>
          <reference field="4" count="1" selected="0">
            <x v="0"/>
          </reference>
          <reference field="33" count="1" selected="0">
            <x v="0"/>
          </reference>
        </references>
      </pivotArea>
    </format>
    <format dxfId="723">
      <pivotArea outline="0" fieldPosition="0">
        <references count="4">
          <reference field="4294967294" count="1" selected="0">
            <x v="31"/>
          </reference>
          <reference field="0" count="1" selected="0">
            <x v="9"/>
          </reference>
          <reference field="4" count="1" selected="0">
            <x v="2"/>
          </reference>
          <reference field="33" count="1" selected="0">
            <x v="0"/>
          </reference>
        </references>
      </pivotArea>
    </format>
    <format dxfId="722">
      <pivotArea outline="0" fieldPosition="0">
        <references count="4">
          <reference field="4294967294" count="2" selected="0">
            <x v="12"/>
            <x v="13"/>
          </reference>
          <reference field="0" count="1" selected="0">
            <x v="9"/>
          </reference>
          <reference field="4" count="1" selected="0">
            <x v="0"/>
          </reference>
          <reference field="33" count="1" selected="0">
            <x v="0"/>
          </reference>
        </references>
      </pivotArea>
    </format>
    <format dxfId="721">
      <pivotArea outline="0" fieldPosition="0">
        <references count="4">
          <reference field="4294967294" count="1" selected="0">
            <x v="12"/>
          </reference>
          <reference field="0" count="1" selected="0">
            <x v="9"/>
          </reference>
          <reference field="4" count="1" selected="0">
            <x v="1"/>
          </reference>
          <reference field="33" count="1" selected="0">
            <x v="0"/>
          </reference>
        </references>
      </pivotArea>
    </format>
    <format dxfId="720">
      <pivotArea outline="0" fieldPosition="0">
        <references count="4">
          <reference field="4294967294" count="1" selected="0">
            <x v="12"/>
          </reference>
          <reference field="0" count="1" selected="0">
            <x v="9"/>
          </reference>
          <reference field="4" count="1" selected="0">
            <x v="3"/>
          </reference>
          <reference field="33" count="1" selected="0">
            <x v="0"/>
          </reference>
        </references>
      </pivotArea>
    </format>
    <format dxfId="719">
      <pivotArea outline="0" fieldPosition="0">
        <references count="4">
          <reference field="4294967294" count="1" selected="0">
            <x v="10"/>
          </reference>
          <reference field="0" count="1" selected="0">
            <x v="9"/>
          </reference>
          <reference field="4" count="1" selected="0">
            <x v="3"/>
          </reference>
          <reference field="33" count="1" selected="0">
            <x v="0"/>
          </reference>
        </references>
      </pivotArea>
    </format>
    <format dxfId="718">
      <pivotArea outline="0" fieldPosition="0">
        <references count="4">
          <reference field="4294967294" count="1" selected="0">
            <x v="28"/>
          </reference>
          <reference field="0" count="1" selected="0">
            <x v="8"/>
          </reference>
          <reference field="4" count="1" selected="0">
            <x v="1"/>
          </reference>
          <reference field="33" count="1" selected="0">
            <x v="0"/>
          </reference>
        </references>
      </pivotArea>
    </format>
    <format dxfId="717">
      <pivotArea outline="0" fieldPosition="0">
        <references count="4">
          <reference field="4294967294" count="1" selected="0">
            <x v="10"/>
          </reference>
          <reference field="0" count="1" selected="0">
            <x v="8"/>
          </reference>
          <reference field="4" count="1" selected="0">
            <x v="2"/>
          </reference>
          <reference field="33" count="1" selected="0">
            <x v="0"/>
          </reference>
        </references>
      </pivotArea>
    </format>
    <format dxfId="716">
      <pivotArea outline="0" fieldPosition="0">
        <references count="4">
          <reference field="4294967294" count="2" selected="0">
            <x v="30"/>
            <x v="31"/>
          </reference>
          <reference field="0" count="1" selected="0">
            <x v="6"/>
          </reference>
          <reference field="4" count="2" selected="0">
            <x v="0"/>
            <x v="1"/>
          </reference>
          <reference field="33" count="1" selected="0">
            <x v="0"/>
          </reference>
        </references>
      </pivotArea>
    </format>
    <format dxfId="715">
      <pivotArea outline="0" fieldPosition="0">
        <references count="4">
          <reference field="4294967294" count="2" selected="0">
            <x v="30"/>
            <x v="31"/>
          </reference>
          <reference field="0" count="1" selected="0">
            <x v="6"/>
          </reference>
          <reference field="4" count="1" selected="0">
            <x v="3"/>
          </reference>
          <reference field="33" count="1" selected="0">
            <x v="0"/>
          </reference>
        </references>
      </pivotArea>
    </format>
    <format dxfId="714">
      <pivotArea outline="0" fieldPosition="0">
        <references count="4">
          <reference field="4294967294" count="1" selected="0">
            <x v="27"/>
          </reference>
          <reference field="0" count="1" selected="0">
            <x v="6"/>
          </reference>
          <reference field="4" count="1" selected="0">
            <x v="1"/>
          </reference>
          <reference field="33" count="1" selected="0">
            <x v="0"/>
          </reference>
        </references>
      </pivotArea>
    </format>
    <format dxfId="713">
      <pivotArea outline="0" fieldPosition="0">
        <references count="4">
          <reference field="4294967294" count="1" selected="0">
            <x v="30"/>
          </reference>
          <reference field="0" count="1" selected="0">
            <x v="4"/>
          </reference>
          <reference field="4" count="1" selected="0">
            <x v="2"/>
          </reference>
          <reference field="33" count="1" selected="0">
            <x v="0"/>
          </reference>
        </references>
      </pivotArea>
    </format>
    <format dxfId="712">
      <pivotArea outline="0" fieldPosition="0">
        <references count="4">
          <reference field="4294967294" count="1" selected="0">
            <x v="27"/>
          </reference>
          <reference field="0" count="1" selected="0">
            <x v="4"/>
          </reference>
          <reference field="4" count="1" selected="0">
            <x v="1"/>
          </reference>
          <reference field="33" count="1" selected="0">
            <x v="0"/>
          </reference>
        </references>
      </pivotArea>
    </format>
    <format dxfId="711">
      <pivotArea outline="0" fieldPosition="0">
        <references count="4">
          <reference field="4294967294" count="1" selected="0">
            <x v="9"/>
          </reference>
          <reference field="0" count="1" selected="0">
            <x v="3"/>
          </reference>
          <reference field="4" count="1" selected="0">
            <x v="2"/>
          </reference>
          <reference field="33" count="1" selected="0">
            <x v="0"/>
          </reference>
        </references>
      </pivotArea>
    </format>
    <format dxfId="710">
      <pivotArea outline="0" fieldPosition="0">
        <references count="4">
          <reference field="4294967294" count="1" selected="0">
            <x v="10"/>
          </reference>
          <reference field="0" count="1" selected="0">
            <x v="3"/>
          </reference>
          <reference field="4" count="1" selected="0">
            <x v="4"/>
          </reference>
          <reference field="33" count="1" selected="0">
            <x v="0"/>
          </reference>
        </references>
      </pivotArea>
    </format>
    <format dxfId="709">
      <pivotArea outline="0" fieldPosition="0">
        <references count="4">
          <reference field="4294967294" count="1" selected="0">
            <x v="13"/>
          </reference>
          <reference field="0" count="1" selected="0">
            <x v="1"/>
          </reference>
          <reference field="4" count="1" selected="0">
            <x v="1"/>
          </reference>
          <reference field="33" count="1" selected="0">
            <x v="0"/>
          </reference>
        </references>
      </pivotArea>
    </format>
    <format dxfId="708">
      <pivotArea outline="0" fieldPosition="0">
        <references count="4">
          <reference field="4294967294" count="1" selected="0">
            <x v="34"/>
          </reference>
          <reference field="0" count="1" selected="0">
            <x v="0"/>
          </reference>
          <reference field="4" count="1" selected="0">
            <x v="0"/>
          </reference>
          <reference field="33" count="1" selected="0">
            <x v="0"/>
          </reference>
        </references>
      </pivotArea>
    </format>
    <format dxfId="707">
      <pivotArea outline="0" fieldPosition="0">
        <references count="4">
          <reference field="4294967294" count="6" selected="0">
            <x v="0"/>
            <x v="1"/>
            <x v="2"/>
            <x v="3"/>
            <x v="4"/>
            <x v="5"/>
          </reference>
          <reference field="0" count="1" selected="0">
            <x v="3"/>
          </reference>
          <reference field="4" count="3" selected="0">
            <x v="7"/>
            <x v="8"/>
            <x v="9"/>
          </reference>
          <reference field="33" count="1" selected="0">
            <x v="1"/>
          </reference>
        </references>
      </pivotArea>
    </format>
    <format dxfId="706">
      <pivotArea outline="0" fieldPosition="0">
        <references count="3">
          <reference field="4294967294" count="6" selected="0">
            <x v="0"/>
            <x v="1"/>
            <x v="2"/>
            <x v="3"/>
            <x v="4"/>
            <x v="5"/>
          </reference>
          <reference field="0" count="1" selected="0">
            <x v="3"/>
          </reference>
          <reference field="33" count="1" selected="0" defaultSubtotal="1">
            <x v="1"/>
          </reference>
        </references>
      </pivotArea>
    </format>
    <format dxfId="705">
      <pivotArea outline="0" fieldPosition="0">
        <references count="4">
          <reference field="4294967294" count="3" selected="0">
            <x v="0"/>
            <x v="1"/>
            <x v="2"/>
          </reference>
          <reference field="0" count="1" selected="0">
            <x v="6"/>
          </reference>
          <reference field="4" count="1" selected="0">
            <x v="7"/>
          </reference>
          <reference field="33" count="1" selected="0">
            <x v="1"/>
          </reference>
        </references>
      </pivotArea>
    </format>
    <format dxfId="704">
      <pivotArea outline="0" fieldPosition="0">
        <references count="4">
          <reference field="4294967294" count="3" selected="0">
            <x v="0"/>
            <x v="1"/>
            <x v="2"/>
          </reference>
          <reference field="0" count="1" selected="0">
            <x v="6"/>
          </reference>
          <reference field="4" count="1" selected="0">
            <x v="9"/>
          </reference>
          <reference field="33" count="1" selected="0">
            <x v="1"/>
          </reference>
        </references>
      </pivotArea>
    </format>
    <format dxfId="703">
      <pivotArea outline="0" fieldPosition="0">
        <references count="4">
          <reference field="4294967294" count="3" selected="0">
            <x v="6"/>
            <x v="7"/>
            <x v="8"/>
          </reference>
          <reference field="0" count="1" selected="0">
            <x v="6"/>
          </reference>
          <reference field="4" count="1" selected="0">
            <x v="7"/>
          </reference>
          <reference field="33" count="1" selected="0">
            <x v="1"/>
          </reference>
        </references>
      </pivotArea>
    </format>
    <format dxfId="702">
      <pivotArea outline="0" fieldPosition="0">
        <references count="4">
          <reference field="4294967294" count="9" selected="0">
            <x v="0"/>
            <x v="1"/>
            <x v="2"/>
            <x v="3"/>
            <x v="4"/>
            <x v="5"/>
            <x v="6"/>
            <x v="7"/>
            <x v="8"/>
          </reference>
          <reference field="0" count="1" selected="0">
            <x v="16"/>
          </reference>
          <reference field="4" count="1" selected="0">
            <x v="8"/>
          </reference>
          <reference field="33" count="1" selected="0">
            <x v="1"/>
          </reference>
        </references>
      </pivotArea>
    </format>
    <format dxfId="701">
      <pivotArea outline="0" fieldPosition="0">
        <references count="4">
          <reference field="4294967294" count="9" selected="0">
            <x v="0"/>
            <x v="1"/>
            <x v="2"/>
            <x v="3"/>
            <x v="4"/>
            <x v="5"/>
            <x v="6"/>
            <x v="7"/>
            <x v="8"/>
          </reference>
          <reference field="0" count="1" selected="0">
            <x v="16"/>
          </reference>
          <reference field="4" count="1" selected="0">
            <x v="9"/>
          </reference>
          <reference field="33" count="1" selected="0">
            <x v="1"/>
          </reference>
        </references>
      </pivotArea>
    </format>
    <format dxfId="700">
      <pivotArea outline="0" fieldPosition="0">
        <references count="4">
          <reference field="4294967294" count="8" selected="0">
            <x v="18"/>
            <x v="19"/>
            <x v="20"/>
            <x v="21"/>
            <x v="22"/>
            <x v="23"/>
            <x v="24"/>
            <x v="25"/>
          </reference>
          <reference field="0" count="1" selected="0">
            <x v="16"/>
          </reference>
          <reference field="4" count="1" selected="0">
            <x v="8"/>
          </reference>
          <reference field="33" count="1" selected="0">
            <x v="1"/>
          </reference>
        </references>
      </pivotArea>
    </format>
    <format dxfId="699">
      <pivotArea field="0" grandRow="1" outline="0" axis="axisRow" fieldPosition="0">
        <references count="1">
          <reference field="4294967294" count="1" selected="0">
            <x v="35"/>
          </reference>
        </references>
      </pivotArea>
    </format>
    <format dxfId="698">
      <pivotArea field="0" dataOnly="0" labelOnly="1" grandRow="1" outline="0" axis="axisRow" fieldPosition="0">
        <references count="1">
          <reference field="4294967294" count="1" selected="0">
            <x v="0"/>
          </reference>
        </references>
      </pivotArea>
    </format>
    <format dxfId="697">
      <pivotArea field="0" dataOnly="0" labelOnly="1" grandRow="1" outline="0" axis="axisRow" fieldPosition="0">
        <references count="1">
          <reference field="4294967294" count="1" selected="0">
            <x v="1"/>
          </reference>
        </references>
      </pivotArea>
    </format>
    <format dxfId="696">
      <pivotArea field="0" dataOnly="0" labelOnly="1" grandRow="1" outline="0" axis="axisRow" fieldPosition="0">
        <references count="1">
          <reference field="4294967294" count="1" selected="0">
            <x v="2"/>
          </reference>
        </references>
      </pivotArea>
    </format>
    <format dxfId="695">
      <pivotArea field="0" dataOnly="0" labelOnly="1" grandRow="1" outline="0" axis="axisRow" fieldPosition="0">
        <references count="1">
          <reference field="4294967294" count="1" selected="0">
            <x v="3"/>
          </reference>
        </references>
      </pivotArea>
    </format>
    <format dxfId="694">
      <pivotArea field="0" dataOnly="0" labelOnly="1" grandRow="1" outline="0" axis="axisRow" fieldPosition="0">
        <references count="1">
          <reference field="4294967294" count="1" selected="0">
            <x v="4"/>
          </reference>
        </references>
      </pivotArea>
    </format>
    <format dxfId="693">
      <pivotArea field="0" dataOnly="0" labelOnly="1" grandRow="1" outline="0" axis="axisRow" fieldPosition="0">
        <references count="1">
          <reference field="4294967294" count="1" selected="0">
            <x v="5"/>
          </reference>
        </references>
      </pivotArea>
    </format>
    <format dxfId="692">
      <pivotArea field="0" dataOnly="0" labelOnly="1" grandRow="1" outline="0" axis="axisRow" fieldPosition="0">
        <references count="1">
          <reference field="4294967294" count="1" selected="0">
            <x v="6"/>
          </reference>
        </references>
      </pivotArea>
    </format>
    <format dxfId="691">
      <pivotArea field="0" dataOnly="0" labelOnly="1" grandRow="1" outline="0" axis="axisRow" fieldPosition="0">
        <references count="1">
          <reference field="4294967294" count="1" selected="0">
            <x v="7"/>
          </reference>
        </references>
      </pivotArea>
    </format>
    <format dxfId="690">
      <pivotArea field="0" dataOnly="0" labelOnly="1" grandRow="1" outline="0" axis="axisRow" fieldPosition="0">
        <references count="1">
          <reference field="4294967294" count="1" selected="0">
            <x v="8"/>
          </reference>
        </references>
      </pivotArea>
    </format>
    <format dxfId="689">
      <pivotArea field="0" dataOnly="0" labelOnly="1" grandRow="1" outline="0" axis="axisRow" fieldPosition="0">
        <references count="1">
          <reference field="4294967294" count="1" selected="0">
            <x v="9"/>
          </reference>
        </references>
      </pivotArea>
    </format>
    <format dxfId="688">
      <pivotArea field="0" dataOnly="0" labelOnly="1" grandRow="1" outline="0" axis="axisRow" fieldPosition="0">
        <references count="1">
          <reference field="4294967294" count="1" selected="0">
            <x v="10"/>
          </reference>
        </references>
      </pivotArea>
    </format>
    <format dxfId="687">
      <pivotArea field="0" dataOnly="0" labelOnly="1" grandRow="1" outline="0" axis="axisRow" fieldPosition="0">
        <references count="1">
          <reference field="4294967294" count="1" selected="0">
            <x v="11"/>
          </reference>
        </references>
      </pivotArea>
    </format>
    <format dxfId="686">
      <pivotArea field="0" dataOnly="0" labelOnly="1" grandRow="1" outline="0" axis="axisRow" fieldPosition="0">
        <references count="1">
          <reference field="4294967294" count="1" selected="0">
            <x v="12"/>
          </reference>
        </references>
      </pivotArea>
    </format>
    <format dxfId="685">
      <pivotArea field="0" dataOnly="0" labelOnly="1" grandRow="1" outline="0" axis="axisRow" fieldPosition="0">
        <references count="1">
          <reference field="4294967294" count="1" selected="0">
            <x v="13"/>
          </reference>
        </references>
      </pivotArea>
    </format>
    <format dxfId="684">
      <pivotArea field="0" dataOnly="0" labelOnly="1" grandRow="1" outline="0" axis="axisRow" fieldPosition="0">
        <references count="1">
          <reference field="4294967294" count="1" selected="0">
            <x v="14"/>
          </reference>
        </references>
      </pivotArea>
    </format>
    <format dxfId="683">
      <pivotArea field="0" dataOnly="0" labelOnly="1" grandRow="1" outline="0" axis="axisRow" fieldPosition="0">
        <references count="1">
          <reference field="4294967294" count="1" selected="0">
            <x v="15"/>
          </reference>
        </references>
      </pivotArea>
    </format>
    <format dxfId="682">
      <pivotArea field="0" dataOnly="0" labelOnly="1" grandRow="1" outline="0" axis="axisRow" fieldPosition="0">
        <references count="1">
          <reference field="4294967294" count="1" selected="0">
            <x v="16"/>
          </reference>
        </references>
      </pivotArea>
    </format>
    <format dxfId="681">
      <pivotArea field="0" dataOnly="0" labelOnly="1" grandRow="1" outline="0" axis="axisRow" fieldPosition="0">
        <references count="1">
          <reference field="4294967294" count="1" selected="0">
            <x v="17"/>
          </reference>
        </references>
      </pivotArea>
    </format>
    <format dxfId="680">
      <pivotArea field="0" dataOnly="0" labelOnly="1" grandRow="1" outline="0" axis="axisRow" fieldPosition="0">
        <references count="1">
          <reference field="4294967294" count="1" selected="0">
            <x v="18"/>
          </reference>
        </references>
      </pivotArea>
    </format>
    <format dxfId="679">
      <pivotArea field="0" dataOnly="0" labelOnly="1" grandRow="1" outline="0" axis="axisRow" fieldPosition="0">
        <references count="1">
          <reference field="4294967294" count="1" selected="0">
            <x v="19"/>
          </reference>
        </references>
      </pivotArea>
    </format>
    <format dxfId="678">
      <pivotArea field="0" dataOnly="0" labelOnly="1" grandRow="1" outline="0" axis="axisRow" fieldPosition="0">
        <references count="1">
          <reference field="4294967294" count="1" selected="0">
            <x v="20"/>
          </reference>
        </references>
      </pivotArea>
    </format>
    <format dxfId="677">
      <pivotArea field="0" dataOnly="0" labelOnly="1" grandRow="1" outline="0" axis="axisRow" fieldPosition="0">
        <references count="1">
          <reference field="4294967294" count="1" selected="0">
            <x v="21"/>
          </reference>
        </references>
      </pivotArea>
    </format>
    <format dxfId="676">
      <pivotArea field="0" dataOnly="0" labelOnly="1" grandRow="1" outline="0" axis="axisRow" fieldPosition="0">
        <references count="1">
          <reference field="4294967294" count="1" selected="0">
            <x v="22"/>
          </reference>
        </references>
      </pivotArea>
    </format>
    <format dxfId="675">
      <pivotArea field="0" dataOnly="0" labelOnly="1" grandRow="1" outline="0" axis="axisRow" fieldPosition="0">
        <references count="1">
          <reference field="4294967294" count="1" selected="0">
            <x v="23"/>
          </reference>
        </references>
      </pivotArea>
    </format>
    <format dxfId="674">
      <pivotArea field="0" dataOnly="0" labelOnly="1" grandRow="1" outline="0" axis="axisRow" fieldPosition="0">
        <references count="1">
          <reference field="4294967294" count="1" selected="0">
            <x v="24"/>
          </reference>
        </references>
      </pivotArea>
    </format>
    <format dxfId="673">
      <pivotArea field="0" dataOnly="0" labelOnly="1" grandRow="1" outline="0" axis="axisRow" fieldPosition="0">
        <references count="1">
          <reference field="4294967294" count="1" selected="0">
            <x v="25"/>
          </reference>
        </references>
      </pivotArea>
    </format>
    <format dxfId="672">
      <pivotArea field="0" dataOnly="0" labelOnly="1" grandRow="1" outline="0" axis="axisRow" fieldPosition="0">
        <references count="1">
          <reference field="4294967294" count="1" selected="0">
            <x v="26"/>
          </reference>
        </references>
      </pivotArea>
    </format>
    <format dxfId="671">
      <pivotArea field="0" dataOnly="0" labelOnly="1" grandRow="1" outline="0" axis="axisRow" fieldPosition="0">
        <references count="1">
          <reference field="4294967294" count="1" selected="0">
            <x v="27"/>
          </reference>
        </references>
      </pivotArea>
    </format>
    <format dxfId="670">
      <pivotArea field="0" dataOnly="0" labelOnly="1" grandRow="1" outline="0" axis="axisRow" fieldPosition="0">
        <references count="1">
          <reference field="4294967294" count="1" selected="0">
            <x v="28"/>
          </reference>
        </references>
      </pivotArea>
    </format>
    <format dxfId="669">
      <pivotArea field="0" dataOnly="0" labelOnly="1" grandRow="1" outline="0" axis="axisRow" fieldPosition="0">
        <references count="1">
          <reference field="4294967294" count="1" selected="0">
            <x v="29"/>
          </reference>
        </references>
      </pivotArea>
    </format>
    <format dxfId="668">
      <pivotArea field="0" dataOnly="0" labelOnly="1" grandRow="1" outline="0" axis="axisRow" fieldPosition="0">
        <references count="1">
          <reference field="4294967294" count="1" selected="0">
            <x v="30"/>
          </reference>
        </references>
      </pivotArea>
    </format>
    <format dxfId="667">
      <pivotArea field="0" dataOnly="0" labelOnly="1" grandRow="1" outline="0" axis="axisRow" fieldPosition="0">
        <references count="1">
          <reference field="4294967294" count="1" selected="0">
            <x v="31"/>
          </reference>
        </references>
      </pivotArea>
    </format>
    <format dxfId="666">
      <pivotArea field="0" dataOnly="0" labelOnly="1" grandRow="1" outline="0" axis="axisRow" fieldPosition="0">
        <references count="1">
          <reference field="4294967294" count="1" selected="0">
            <x v="32"/>
          </reference>
        </references>
      </pivotArea>
    </format>
    <format dxfId="665">
      <pivotArea field="0" dataOnly="0" labelOnly="1" grandRow="1" outline="0" axis="axisRow" fieldPosition="0">
        <references count="1">
          <reference field="4294967294" count="1" selected="0">
            <x v="33"/>
          </reference>
        </references>
      </pivotArea>
    </format>
    <format dxfId="664">
      <pivotArea field="0" dataOnly="0" labelOnly="1" grandRow="1" outline="0" axis="axisRow" fieldPosition="0">
        <references count="1">
          <reference field="4294967294" count="1" selected="0">
            <x v="34"/>
          </reference>
        </references>
      </pivotArea>
    </format>
    <format dxfId="663">
      <pivotArea field="0" dataOnly="0" labelOnly="1" grandRow="1" outline="0" axis="axisRow" fieldPosition="0">
        <references count="1">
          <reference field="4294967294" count="1" selected="0">
            <x v="35"/>
          </reference>
        </references>
      </pivotArea>
    </format>
    <format dxfId="662">
      <pivotArea outline="0" fieldPosition="0">
        <references count="2">
          <reference field="4294967294" count="1" selected="0">
            <x v="0"/>
          </reference>
          <reference field="0" count="1" selected="0">
            <x v="0"/>
          </reference>
        </references>
      </pivotArea>
    </format>
    <format dxfId="661">
      <pivotArea dataOnly="0" labelOnly="1" outline="0" offset="IV1" fieldPosition="0">
        <references count="1">
          <reference field="0" count="1">
            <x v="0"/>
          </reference>
        </references>
      </pivotArea>
    </format>
    <format dxfId="660">
      <pivotArea dataOnly="0" labelOnly="1" outline="0" fieldPosition="0">
        <references count="2">
          <reference field="4294967294" count="1">
            <x v="0"/>
          </reference>
          <reference field="0" count="1" selected="0">
            <x v="0"/>
          </reference>
        </references>
      </pivotArea>
    </format>
    <format dxfId="659">
      <pivotArea outline="0" fieldPosition="0">
        <references count="2">
          <reference field="4294967294" count="1" selected="0">
            <x v="0"/>
          </reference>
          <reference field="0" count="1" selected="0">
            <x v="1"/>
          </reference>
        </references>
      </pivotArea>
    </format>
    <format dxfId="658">
      <pivotArea dataOnly="0" labelOnly="1" outline="0" offset="IV1" fieldPosition="0">
        <references count="1">
          <reference field="0" count="1">
            <x v="1"/>
          </reference>
        </references>
      </pivotArea>
    </format>
    <format dxfId="657">
      <pivotArea dataOnly="0" labelOnly="1" outline="0" fieldPosition="0">
        <references count="2">
          <reference field="4294967294" count="1">
            <x v="0"/>
          </reference>
          <reference field="0" count="1" selected="0">
            <x v="1"/>
          </reference>
        </references>
      </pivotArea>
    </format>
    <format dxfId="656">
      <pivotArea outline="0" fieldPosition="0">
        <references count="2">
          <reference field="4294967294" count="1" selected="0">
            <x v="0"/>
          </reference>
          <reference field="0" count="1" selected="0">
            <x v="3"/>
          </reference>
        </references>
      </pivotArea>
    </format>
    <format dxfId="655">
      <pivotArea dataOnly="0" labelOnly="1" outline="0" offset="IV1" fieldPosition="0">
        <references count="1">
          <reference field="0" count="1">
            <x v="3"/>
          </reference>
        </references>
      </pivotArea>
    </format>
    <format dxfId="654">
      <pivotArea dataOnly="0" labelOnly="1" outline="0" fieldPosition="0">
        <references count="2">
          <reference field="4294967294" count="1">
            <x v="0"/>
          </reference>
          <reference field="0" count="1" selected="0">
            <x v="3"/>
          </reference>
        </references>
      </pivotArea>
    </format>
    <format dxfId="653">
      <pivotArea outline="0" fieldPosition="0">
        <references count="2">
          <reference field="4294967294" count="1" selected="0">
            <x v="0"/>
          </reference>
          <reference field="0" count="1" selected="0">
            <x v="4"/>
          </reference>
        </references>
      </pivotArea>
    </format>
    <format dxfId="652">
      <pivotArea dataOnly="0" labelOnly="1" outline="0" offset="IV1" fieldPosition="0">
        <references count="1">
          <reference field="0" count="1">
            <x v="4"/>
          </reference>
        </references>
      </pivotArea>
    </format>
    <format dxfId="651">
      <pivotArea dataOnly="0" labelOnly="1" outline="0" fieldPosition="0">
        <references count="2">
          <reference field="4294967294" count="1">
            <x v="0"/>
          </reference>
          <reference field="0" count="1" selected="0">
            <x v="4"/>
          </reference>
        </references>
      </pivotArea>
    </format>
    <format dxfId="650">
      <pivotArea outline="0" fieldPosition="0">
        <references count="2">
          <reference field="4294967294" count="1" selected="0">
            <x v="35"/>
          </reference>
          <reference field="0" count="1" selected="0">
            <x v="16"/>
          </reference>
        </references>
      </pivotArea>
    </format>
    <format dxfId="649">
      <pivotArea dataOnly="0" labelOnly="1" outline="0" offset="IV256" fieldPosition="0">
        <references count="1">
          <reference field="0" count="1">
            <x v="16"/>
          </reference>
        </references>
      </pivotArea>
    </format>
    <format dxfId="648">
      <pivotArea dataOnly="0" labelOnly="1" outline="0" fieldPosition="0">
        <references count="2">
          <reference field="4294967294" count="1">
            <x v="35"/>
          </reference>
          <reference field="0" count="1" selected="0">
            <x v="16"/>
          </reference>
        </references>
      </pivotArea>
    </format>
    <format dxfId="647">
      <pivotArea outline="0" fieldPosition="0">
        <references count="4">
          <reference field="4294967294" count="6" selected="0">
            <x v="18"/>
            <x v="19"/>
            <x v="20"/>
            <x v="21"/>
            <x v="22"/>
            <x v="23"/>
          </reference>
          <reference field="0" count="1" selected="0">
            <x v="8"/>
          </reference>
          <reference field="4" count="1" selected="0">
            <x v="2"/>
          </reference>
          <reference field="33" count="1" selected="0">
            <x v="0"/>
          </reference>
        </references>
      </pivotArea>
    </format>
    <format dxfId="646">
      <pivotArea outline="0" fieldPosition="0">
        <references count="4">
          <reference field="4294967294" count="1" selected="0">
            <x v="0"/>
          </reference>
          <reference field="0" count="1" selected="0">
            <x v="3"/>
          </reference>
          <reference field="4" count="1" selected="0">
            <x v="5"/>
          </reference>
          <reference field="33" count="1" selected="0">
            <x v="0"/>
          </reference>
        </references>
      </pivotArea>
    </format>
    <format dxfId="645">
      <pivotArea outline="0" fieldPosition="0">
        <references count="1">
          <reference field="0" count="1" selected="0">
            <x v="0"/>
          </reference>
        </references>
      </pivotArea>
    </format>
    <format dxfId="644">
      <pivotArea dataOnly="0" labelOnly="1" outline="0" fieldPosition="0">
        <references count="1">
          <reference field="0" count="1">
            <x v="0"/>
          </reference>
        </references>
      </pivotArea>
    </format>
    <format dxfId="643">
      <pivotArea dataOnly="0" labelOnly="1" outline="0" fieldPosition="0">
        <references count="2">
          <reference field="4294967294" count="0"/>
          <reference field="0" count="1" selected="0">
            <x v="0"/>
          </reference>
        </references>
      </pivotArea>
    </format>
    <format dxfId="642">
      <pivotArea outline="0" fieldPosition="0">
        <references count="4">
          <reference field="4294967294" count="3" selected="0">
            <x v="6"/>
            <x v="7"/>
            <x v="8"/>
          </reference>
          <reference field="0" count="1" selected="0">
            <x v="0"/>
          </reference>
          <reference field="4" count="1" selected="0">
            <x v="0"/>
          </reference>
          <reference field="33" count="1" selected="0">
            <x v="0"/>
          </reference>
        </references>
      </pivotArea>
    </format>
    <format dxfId="641">
      <pivotArea outline="0" fieldPosition="0">
        <references count="4">
          <reference field="4294967294" count="3" selected="0">
            <x v="18"/>
            <x v="19"/>
            <x v="20"/>
          </reference>
          <reference field="0" count="1" selected="0">
            <x v="0"/>
          </reference>
          <reference field="4" count="1" selected="0">
            <x v="3"/>
          </reference>
          <reference field="33" count="1" selected="0">
            <x v="0"/>
          </reference>
        </references>
      </pivotArea>
    </format>
    <format dxfId="640">
      <pivotArea outline="0" fieldPosition="0">
        <references count="4">
          <reference field="4294967294" count="3" selected="0">
            <x v="24"/>
            <x v="25"/>
            <x v="26"/>
          </reference>
          <reference field="0" count="1" selected="0">
            <x v="0"/>
          </reference>
          <reference field="4" count="1" selected="0">
            <x v="3"/>
          </reference>
          <reference field="33" count="1" selected="0">
            <x v="0"/>
          </reference>
        </references>
      </pivotArea>
    </format>
    <format dxfId="639">
      <pivotArea outline="0" fieldPosition="0">
        <references count="4">
          <reference field="4294967294" count="3" selected="0">
            <x v="18"/>
            <x v="19"/>
            <x v="20"/>
          </reference>
          <reference field="0" count="1" selected="0">
            <x v="0"/>
          </reference>
          <reference field="4" count="1" selected="0">
            <x v="4"/>
          </reference>
          <reference field="33" count="1" selected="0">
            <x v="0"/>
          </reference>
        </references>
      </pivotArea>
    </format>
    <format dxfId="638">
      <pivotArea outline="0" fieldPosition="0">
        <references count="4">
          <reference field="4294967294" count="3" selected="0">
            <x v="24"/>
            <x v="25"/>
            <x v="26"/>
          </reference>
          <reference field="0" count="1" selected="0">
            <x v="0"/>
          </reference>
          <reference field="4" count="1" selected="0">
            <x v="4"/>
          </reference>
          <reference field="33" count="1" selected="0">
            <x v="0"/>
          </reference>
        </references>
      </pivotArea>
    </format>
    <format dxfId="637">
      <pivotArea outline="0" fieldPosition="0">
        <references count="4">
          <reference field="4294967294" count="3" selected="0">
            <x v="24"/>
            <x v="25"/>
            <x v="26"/>
          </reference>
          <reference field="0" count="1" selected="0">
            <x v="0"/>
          </reference>
          <reference field="4" count="1" selected="0">
            <x v="0"/>
          </reference>
          <reference field="33" count="1" selected="0">
            <x v="0"/>
          </reference>
        </references>
      </pivotArea>
    </format>
    <format dxfId="636">
      <pivotArea outline="0" fieldPosition="0">
        <references count="4">
          <reference field="4294967294" count="3" selected="0">
            <x v="9"/>
            <x v="10"/>
            <x v="11"/>
          </reference>
          <reference field="0" count="1" selected="0">
            <x v="0"/>
          </reference>
          <reference field="4" count="1" selected="0">
            <x v="0"/>
          </reference>
          <reference field="33" count="1" selected="0">
            <x v="0"/>
          </reference>
        </references>
      </pivotArea>
    </format>
    <format dxfId="635">
      <pivotArea outline="0" fieldPosition="0">
        <references count="4">
          <reference field="4294967294" count="3" selected="0">
            <x v="6"/>
            <x v="7"/>
            <x v="8"/>
          </reference>
          <reference field="0" count="1" selected="0">
            <x v="0"/>
          </reference>
          <reference field="4" count="1" selected="0">
            <x v="9"/>
          </reference>
          <reference field="33" count="1" selected="0">
            <x v="1"/>
          </reference>
        </references>
      </pivotArea>
    </format>
    <format dxfId="634">
      <pivotArea outline="0" fieldPosition="0">
        <references count="4">
          <reference field="4294967294" count="3" selected="0">
            <x v="6"/>
            <x v="7"/>
            <x v="8"/>
          </reference>
          <reference field="0" count="1" selected="0">
            <x v="0"/>
          </reference>
          <reference field="4" count="1" selected="0">
            <x v="5"/>
          </reference>
          <reference field="33" count="1" selected="0">
            <x v="0"/>
          </reference>
        </references>
      </pivotArea>
    </format>
    <format dxfId="633">
      <pivotArea outline="0" fieldPosition="0">
        <references count="4">
          <reference field="4294967294" count="3" selected="0">
            <x v="18"/>
            <x v="19"/>
            <x v="20"/>
          </reference>
          <reference field="0" count="1" selected="0">
            <x v="3"/>
          </reference>
          <reference field="4" count="1" selected="0">
            <x v="4"/>
          </reference>
          <reference field="33" count="1" selected="0">
            <x v="0"/>
          </reference>
        </references>
      </pivotArea>
    </format>
    <format dxfId="632">
      <pivotArea outline="0" fieldPosition="0">
        <references count="4">
          <reference field="4294967294" count="1" selected="0">
            <x v="34"/>
          </reference>
          <reference field="0" count="1" selected="0">
            <x v="3"/>
          </reference>
          <reference field="4" count="1" selected="0">
            <x v="0"/>
          </reference>
          <reference field="33" count="1" selected="0">
            <x v="0"/>
          </reference>
        </references>
      </pivotArea>
    </format>
    <format dxfId="631">
      <pivotArea outline="0" fieldPosition="0">
        <references count="4">
          <reference field="4294967294" count="1" selected="0">
            <x v="10"/>
          </reference>
          <reference field="0" count="1" selected="0">
            <x v="3"/>
          </reference>
          <reference field="4" count="1" selected="0">
            <x v="0"/>
          </reference>
          <reference field="33" count="1" selected="0">
            <x v="0"/>
          </reference>
        </references>
      </pivotArea>
    </format>
    <format dxfId="630">
      <pivotArea outline="0" fieldPosition="0">
        <references count="4">
          <reference field="4294967294" count="3" selected="0">
            <x v="21"/>
            <x v="22"/>
            <x v="23"/>
          </reference>
          <reference field="0" count="1" selected="0">
            <x v="3"/>
          </reference>
          <reference field="4" count="1" selected="0">
            <x v="4"/>
          </reference>
          <reference field="33" count="1" selected="0">
            <x v="0"/>
          </reference>
        </references>
      </pivotArea>
    </format>
    <format dxfId="629">
      <pivotArea outline="0" fieldPosition="0">
        <references count="4">
          <reference field="4294967294" count="3" selected="0">
            <x v="6"/>
            <x v="7"/>
            <x v="8"/>
          </reference>
          <reference field="0" count="1" selected="0">
            <x v="4"/>
          </reference>
          <reference field="4" count="1" selected="0">
            <x v="5"/>
          </reference>
          <reference field="33" count="1" selected="0">
            <x v="0"/>
          </reference>
        </references>
      </pivotArea>
    </format>
    <format dxfId="628">
      <pivotArea outline="0" fieldPosition="0">
        <references count="4">
          <reference field="4294967294" count="3" selected="0">
            <x v="0"/>
            <x v="1"/>
            <x v="2"/>
          </reference>
          <reference field="0" count="1" selected="0">
            <x v="4"/>
          </reference>
          <reference field="4" count="1" selected="0">
            <x v="5"/>
          </reference>
          <reference field="33" count="1" selected="0">
            <x v="0"/>
          </reference>
        </references>
      </pivotArea>
    </format>
    <format dxfId="627">
      <pivotArea outline="0" fieldPosition="0">
        <references count="4">
          <reference field="4294967294" count="3" selected="0">
            <x v="6"/>
            <x v="7"/>
            <x v="8"/>
          </reference>
          <reference field="0" count="1" selected="0">
            <x v="4"/>
          </reference>
          <reference field="4" count="1" selected="0">
            <x v="5"/>
          </reference>
          <reference field="33" count="1" selected="0">
            <x v="0"/>
          </reference>
        </references>
      </pivotArea>
    </format>
    <format dxfId="626">
      <pivotArea outline="0" fieldPosition="0">
        <references count="4">
          <reference field="4294967294" count="3" selected="0">
            <x v="21"/>
            <x v="22"/>
            <x v="23"/>
          </reference>
          <reference field="0" count="1" selected="0">
            <x v="3"/>
          </reference>
          <reference field="4" count="1" selected="0">
            <x v="4"/>
          </reference>
          <reference field="33" count="1" selected="0">
            <x v="0"/>
          </reference>
        </references>
      </pivotArea>
    </format>
    <format dxfId="625">
      <pivotArea outline="0" fieldPosition="0">
        <references count="4">
          <reference field="4294967294" count="3" selected="0">
            <x v="21"/>
            <x v="22"/>
            <x v="23"/>
          </reference>
          <reference field="0" count="1" selected="0">
            <x v="4"/>
          </reference>
          <reference field="4" count="1" selected="0">
            <x v="2"/>
          </reference>
          <reference field="33" count="1" selected="0">
            <x v="0"/>
          </reference>
        </references>
      </pivotArea>
    </format>
    <format dxfId="624">
      <pivotArea outline="0" fieldPosition="0">
        <references count="4">
          <reference field="4294967294" count="3" selected="0">
            <x v="24"/>
            <x v="25"/>
            <x v="26"/>
          </reference>
          <reference field="0" count="1" selected="0">
            <x v="4"/>
          </reference>
          <reference field="4" count="1" selected="0">
            <x v="2"/>
          </reference>
          <reference field="33" count="1" selected="0">
            <x v="0"/>
          </reference>
        </references>
      </pivotArea>
    </format>
    <format dxfId="623">
      <pivotArea outline="0" fieldPosition="0">
        <references count="4">
          <reference field="4294967294" count="3" selected="0">
            <x v="21"/>
            <x v="22"/>
            <x v="23"/>
          </reference>
          <reference field="0" count="1" selected="0">
            <x v="4"/>
          </reference>
          <reference field="4" count="1" selected="0">
            <x v="4"/>
          </reference>
          <reference field="33" count="1" selected="0">
            <x v="0"/>
          </reference>
        </references>
      </pivotArea>
    </format>
    <format dxfId="622">
      <pivotArea outline="0" fieldPosition="0">
        <references count="3">
          <reference field="4294967294" count="1" selected="0">
            <x v="34"/>
          </reference>
          <reference field="0" count="1" selected="0">
            <x v="4"/>
          </reference>
          <reference field="33" count="1" selected="0" defaultSubtotal="1">
            <x v="0"/>
          </reference>
        </references>
      </pivotArea>
    </format>
    <format dxfId="621">
      <pivotArea outline="0" fieldPosition="0">
        <references count="4">
          <reference field="4294967294" count="3" selected="0">
            <x v="0"/>
            <x v="1"/>
            <x v="2"/>
          </reference>
          <reference field="0" count="1" selected="0">
            <x v="6"/>
          </reference>
          <reference field="4" count="1" selected="0">
            <x v="1"/>
          </reference>
          <reference field="33" count="1" selected="0">
            <x v="0"/>
          </reference>
        </references>
      </pivotArea>
    </format>
    <format dxfId="620">
      <pivotArea outline="0" fieldPosition="0">
        <references count="4">
          <reference field="4294967294" count="3" selected="0">
            <x v="6"/>
            <x v="7"/>
            <x v="8"/>
          </reference>
          <reference field="0" count="1" selected="0">
            <x v="6"/>
          </reference>
          <reference field="4" count="1" selected="0">
            <x v="1"/>
          </reference>
          <reference field="33" count="1" selected="0">
            <x v="0"/>
          </reference>
        </references>
      </pivotArea>
    </format>
    <format dxfId="619">
      <pivotArea outline="0" fieldPosition="0">
        <references count="4">
          <reference field="4294967294" count="3" selected="0">
            <x v="18"/>
            <x v="19"/>
            <x v="20"/>
          </reference>
          <reference field="0" count="1" selected="0">
            <x v="6"/>
          </reference>
          <reference field="4" count="1" selected="0">
            <x v="1"/>
          </reference>
          <reference field="33" count="1" selected="0">
            <x v="0"/>
          </reference>
        </references>
      </pivotArea>
    </format>
    <format dxfId="618">
      <pivotArea outline="0" fieldPosition="0">
        <references count="4">
          <reference field="4294967294" count="3" selected="0">
            <x v="24"/>
            <x v="25"/>
            <x v="26"/>
          </reference>
          <reference field="0" count="1" selected="0">
            <x v="6"/>
          </reference>
          <reference field="4" count="1" selected="0">
            <x v="1"/>
          </reference>
          <reference field="33" count="1" selected="0">
            <x v="0"/>
          </reference>
        </references>
      </pivotArea>
    </format>
    <format dxfId="617">
      <pivotArea outline="0" fieldPosition="0">
        <references count="4">
          <reference field="4294967294" count="3" selected="0">
            <x v="24"/>
            <x v="25"/>
            <x v="26"/>
          </reference>
          <reference field="0" count="1" selected="0">
            <x v="6"/>
          </reference>
          <reference field="4" count="1" selected="0">
            <x v="2"/>
          </reference>
          <reference field="33" count="1" selected="0">
            <x v="0"/>
          </reference>
        </references>
      </pivotArea>
    </format>
    <format dxfId="616">
      <pivotArea outline="0" fieldPosition="0">
        <references count="4">
          <reference field="4294967294" count="3" selected="0">
            <x v="24"/>
            <x v="25"/>
            <x v="26"/>
          </reference>
          <reference field="0" count="1" selected="0">
            <x v="6"/>
          </reference>
          <reference field="4" count="1" selected="0">
            <x v="3"/>
          </reference>
          <reference field="33" count="1" selected="0">
            <x v="0"/>
          </reference>
        </references>
      </pivotArea>
    </format>
    <format dxfId="615">
      <pivotArea outline="0" fieldPosition="0">
        <references count="4">
          <reference field="4294967294" count="3" selected="0">
            <x v="0"/>
            <x v="1"/>
            <x v="2"/>
          </reference>
          <reference field="0" count="1" selected="0">
            <x v="6"/>
          </reference>
          <reference field="4" count="1" selected="0">
            <x v="9"/>
          </reference>
          <reference field="33" count="1" selected="0">
            <x v="1"/>
          </reference>
        </references>
      </pivotArea>
    </format>
    <format dxfId="614">
      <pivotArea outline="0" fieldPosition="0">
        <references count="4">
          <reference field="4294967294" count="3" selected="0">
            <x v="6"/>
            <x v="7"/>
            <x v="8"/>
          </reference>
          <reference field="0" count="1" selected="0">
            <x v="6"/>
          </reference>
          <reference field="4" count="1" selected="0">
            <x v="9"/>
          </reference>
          <reference field="33" count="1" selected="0">
            <x v="1"/>
          </reference>
        </references>
      </pivotArea>
    </format>
    <format dxfId="613">
      <pivotArea outline="0" fieldPosition="0">
        <references count="4">
          <reference field="4294967294" count="3" selected="0">
            <x v="3"/>
            <x v="4"/>
            <x v="5"/>
          </reference>
          <reference field="0" count="1" selected="0">
            <x v="8"/>
          </reference>
          <reference field="4" count="1" selected="0">
            <x v="12"/>
          </reference>
          <reference field="33" count="1" selected="0">
            <x v="0"/>
          </reference>
        </references>
      </pivotArea>
    </format>
    <format dxfId="612">
      <pivotArea outline="0" fieldPosition="0">
        <references count="4">
          <reference field="4294967294" count="3" selected="0">
            <x v="6"/>
            <x v="7"/>
            <x v="8"/>
          </reference>
          <reference field="0" count="1" selected="0">
            <x v="8"/>
          </reference>
          <reference field="4" count="1" selected="0">
            <x v="12"/>
          </reference>
          <reference field="33" count="1" selected="0">
            <x v="0"/>
          </reference>
        </references>
      </pivotArea>
    </format>
    <format dxfId="611">
      <pivotArea outline="0" fieldPosition="0">
        <references count="4">
          <reference field="4294967294" count="3" selected="0">
            <x v="18"/>
            <x v="19"/>
            <x v="20"/>
          </reference>
          <reference field="0" count="1" selected="0">
            <x v="8"/>
          </reference>
          <reference field="4" count="1" selected="0">
            <x v="2"/>
          </reference>
          <reference field="33" count="1" selected="0">
            <x v="0"/>
          </reference>
        </references>
      </pivotArea>
    </format>
    <format dxfId="610">
      <pivotArea outline="0" fieldPosition="0">
        <references count="4">
          <reference field="4294967294" count="3" selected="0">
            <x v="21"/>
            <x v="22"/>
            <x v="23"/>
          </reference>
          <reference field="0" count="1" selected="0">
            <x v="8"/>
          </reference>
          <reference field="4" count="1" selected="0">
            <x v="2"/>
          </reference>
          <reference field="33" count="1" selected="0">
            <x v="0"/>
          </reference>
        </references>
      </pivotArea>
    </format>
    <format dxfId="609">
      <pivotArea outline="0" fieldPosition="0">
        <references count="4">
          <reference field="4294967294" count="3" selected="0">
            <x v="24"/>
            <x v="25"/>
            <x v="26"/>
          </reference>
          <reference field="0" count="1" selected="0">
            <x v="9"/>
          </reference>
          <reference field="4" count="1" selected="0">
            <x v="1"/>
          </reference>
          <reference field="33" count="1" selected="0">
            <x v="0"/>
          </reference>
        </references>
      </pivotArea>
    </format>
    <format dxfId="608">
      <pivotArea outline="0" fieldPosition="0">
        <references count="4">
          <reference field="4294967294" count="3" selected="0">
            <x v="21"/>
            <x v="22"/>
            <x v="23"/>
          </reference>
          <reference field="0" count="1" selected="0">
            <x v="10"/>
          </reference>
          <reference field="4" count="1" selected="0">
            <x v="2"/>
          </reference>
          <reference field="33" count="1" selected="0">
            <x v="0"/>
          </reference>
        </references>
      </pivotArea>
    </format>
    <format dxfId="607">
      <pivotArea outline="0" fieldPosition="0">
        <references count="4">
          <reference field="4294967294" count="3" selected="0">
            <x v="21"/>
            <x v="22"/>
            <x v="23"/>
          </reference>
          <reference field="0" count="1" selected="0">
            <x v="10"/>
          </reference>
          <reference field="4" count="1" selected="0">
            <x v="3"/>
          </reference>
          <reference field="33" count="1" selected="0">
            <x v="0"/>
          </reference>
        </references>
      </pivotArea>
    </format>
    <format dxfId="606">
      <pivotArea outline="0" fieldPosition="0">
        <references count="4">
          <reference field="4294967294" count="3" selected="0">
            <x v="24"/>
            <x v="25"/>
            <x v="26"/>
          </reference>
          <reference field="0" count="1" selected="0">
            <x v="10"/>
          </reference>
          <reference field="4" count="1" selected="0">
            <x v="4"/>
          </reference>
          <reference field="33" count="1" selected="0">
            <x v="0"/>
          </reference>
        </references>
      </pivotArea>
    </format>
    <format dxfId="605">
      <pivotArea outline="0" fieldPosition="0">
        <references count="4">
          <reference field="4294967294" count="3" selected="0">
            <x v="18"/>
            <x v="19"/>
            <x v="20"/>
          </reference>
          <reference field="0" count="1" selected="0">
            <x v="10"/>
          </reference>
          <reference field="4" count="1" selected="0">
            <x v="4"/>
          </reference>
          <reference field="33" count="1" selected="0">
            <x v="0"/>
          </reference>
        </references>
      </pivotArea>
    </format>
    <format dxfId="604">
      <pivotArea outline="0" fieldPosition="0">
        <references count="4">
          <reference field="4294967294" count="3" selected="0">
            <x v="18"/>
            <x v="19"/>
            <x v="20"/>
          </reference>
          <reference field="0" count="1" selected="0">
            <x v="10"/>
          </reference>
          <reference field="4" count="1" selected="0">
            <x v="3"/>
          </reference>
          <reference field="33" count="1" selected="0">
            <x v="0"/>
          </reference>
        </references>
      </pivotArea>
    </format>
    <format dxfId="603">
      <pivotArea outline="0" fieldPosition="0">
        <references count="4">
          <reference field="4294967294" count="3" selected="0">
            <x v="18"/>
            <x v="19"/>
            <x v="20"/>
          </reference>
          <reference field="0" count="1" selected="0">
            <x v="11"/>
          </reference>
          <reference field="4" count="1" selected="0">
            <x v="0"/>
          </reference>
          <reference field="33" count="1" selected="0">
            <x v="0"/>
          </reference>
        </references>
      </pivotArea>
    </format>
    <format dxfId="602">
      <pivotArea outline="0" fieldPosition="0">
        <references count="4">
          <reference field="4294967294" count="3" selected="0">
            <x v="21"/>
            <x v="22"/>
            <x v="23"/>
          </reference>
          <reference field="0" count="1" selected="0">
            <x v="11"/>
          </reference>
          <reference field="4" count="1" selected="0">
            <x v="0"/>
          </reference>
          <reference field="33" count="1" selected="0">
            <x v="0"/>
          </reference>
        </references>
      </pivotArea>
    </format>
    <format dxfId="601">
      <pivotArea outline="0" fieldPosition="0">
        <references count="4">
          <reference field="4294967294" count="3" selected="0">
            <x v="18"/>
            <x v="19"/>
            <x v="20"/>
          </reference>
          <reference field="0" count="1" selected="0">
            <x v="11"/>
          </reference>
          <reference field="4" count="1" selected="0">
            <x v="4"/>
          </reference>
          <reference field="33" count="1" selected="0">
            <x v="0"/>
          </reference>
        </references>
      </pivotArea>
    </format>
    <format dxfId="600">
      <pivotArea outline="0" fieldPosition="0">
        <references count="4">
          <reference field="4294967294" count="3" selected="0">
            <x v="24"/>
            <x v="25"/>
            <x v="26"/>
          </reference>
          <reference field="0" count="1" selected="0">
            <x v="11"/>
          </reference>
          <reference field="4" count="1" selected="0">
            <x v="4"/>
          </reference>
          <reference field="33" count="1" selected="0">
            <x v="0"/>
          </reference>
        </references>
      </pivotArea>
    </format>
    <format dxfId="599">
      <pivotArea outline="0" fieldPosition="0">
        <references count="4">
          <reference field="4294967294" count="3" selected="0">
            <x v="27"/>
            <x v="28"/>
            <x v="29"/>
          </reference>
          <reference field="0" count="1" selected="0">
            <x v="11"/>
          </reference>
          <reference field="4" count="1" selected="0">
            <x v="4"/>
          </reference>
          <reference field="33" count="1" selected="0">
            <x v="0"/>
          </reference>
        </references>
      </pivotArea>
    </format>
    <format dxfId="598">
      <pivotArea outline="0" fieldPosition="0">
        <references count="4">
          <reference field="4294967294" count="3" selected="0">
            <x v="27"/>
            <x v="28"/>
            <x v="29"/>
          </reference>
          <reference field="0" count="1" selected="0">
            <x v="11"/>
          </reference>
          <reference field="4" count="1" selected="0">
            <x v="0"/>
          </reference>
          <reference field="33" count="1" selected="0">
            <x v="0"/>
          </reference>
        </references>
      </pivotArea>
    </format>
    <format dxfId="597">
      <pivotArea outline="0" fieldPosition="0">
        <references count="4">
          <reference field="4294967294" count="3" selected="0">
            <x v="0"/>
            <x v="1"/>
            <x v="2"/>
          </reference>
          <reference field="0" count="1" selected="0">
            <x v="14"/>
          </reference>
          <reference field="4" count="1" selected="0">
            <x v="4"/>
          </reference>
          <reference field="33" count="1" selected="0">
            <x v="0"/>
          </reference>
        </references>
      </pivotArea>
    </format>
    <format dxfId="596">
      <pivotArea outline="0" fieldPosition="0">
        <references count="4">
          <reference field="4294967294" count="3" selected="0">
            <x v="0"/>
            <x v="1"/>
            <x v="2"/>
          </reference>
          <reference field="0" count="1" selected="0">
            <x v="14"/>
          </reference>
          <reference field="4" count="1" selected="0">
            <x v="3"/>
          </reference>
          <reference field="33" count="1" selected="0">
            <x v="0"/>
          </reference>
        </references>
      </pivotArea>
    </format>
    <format dxfId="595">
      <pivotArea outline="0" fieldPosition="0">
        <references count="4">
          <reference field="4294967294" count="3" selected="0">
            <x v="6"/>
            <x v="7"/>
            <x v="8"/>
          </reference>
          <reference field="0" count="1" selected="0">
            <x v="14"/>
          </reference>
          <reference field="4" count="1" selected="0">
            <x v="4"/>
          </reference>
          <reference field="33" count="1" selected="0">
            <x v="0"/>
          </reference>
        </references>
      </pivotArea>
    </format>
    <format dxfId="594">
      <pivotArea outline="0" fieldPosition="0">
        <references count="4">
          <reference field="4294967294" count="3" selected="0">
            <x v="18"/>
            <x v="19"/>
            <x v="20"/>
          </reference>
          <reference field="0" count="1" selected="0">
            <x v="14"/>
          </reference>
          <reference field="4" count="1" selected="0">
            <x v="5"/>
          </reference>
          <reference field="33" count="1" selected="0">
            <x v="0"/>
          </reference>
        </references>
      </pivotArea>
    </format>
    <format dxfId="593">
      <pivotArea outline="0" fieldPosition="0">
        <references count="4">
          <reference field="4294967294" count="3" selected="0">
            <x v="21"/>
            <x v="22"/>
            <x v="23"/>
          </reference>
          <reference field="0" count="1" selected="0">
            <x v="14"/>
          </reference>
          <reference field="4" count="1" selected="0">
            <x v="5"/>
          </reference>
          <reference field="33" count="1" selected="0">
            <x v="0"/>
          </reference>
        </references>
      </pivotArea>
    </format>
    <format dxfId="592">
      <pivotArea outline="0" fieldPosition="0">
        <references count="4">
          <reference field="4294967294" count="3" selected="0">
            <x v="0"/>
            <x v="1"/>
            <x v="2"/>
          </reference>
          <reference field="0" count="1" selected="0">
            <x v="14"/>
          </reference>
          <reference field="4" count="1" selected="0">
            <x v="9"/>
          </reference>
          <reference field="33" count="1" selected="0">
            <x v="1"/>
          </reference>
        </references>
      </pivotArea>
    </format>
    <format dxfId="591">
      <pivotArea outline="0" fieldPosition="0">
        <references count="4">
          <reference field="4294967294" count="3" selected="0">
            <x v="3"/>
            <x v="4"/>
            <x v="5"/>
          </reference>
          <reference field="0" count="1" selected="0">
            <x v="14"/>
          </reference>
          <reference field="4" count="1" selected="0">
            <x v="9"/>
          </reference>
          <reference field="33" count="1" selected="0">
            <x v="1"/>
          </reference>
        </references>
      </pivotArea>
    </format>
    <format dxfId="590">
      <pivotArea outline="0" fieldPosition="0">
        <references count="4">
          <reference field="4294967294" count="3" selected="0">
            <x v="6"/>
            <x v="7"/>
            <x v="8"/>
          </reference>
          <reference field="0" count="1" selected="0">
            <x v="14"/>
          </reference>
          <reference field="4" count="1" selected="0">
            <x v="9"/>
          </reference>
          <reference field="33" count="1" selected="0">
            <x v="1"/>
          </reference>
        </references>
      </pivotArea>
    </format>
    <format dxfId="589">
      <pivotArea outline="0" fieldPosition="0">
        <references count="4">
          <reference field="4294967294" count="3" selected="0">
            <x v="24"/>
            <x v="25"/>
            <x v="26"/>
          </reference>
          <reference field="0" count="1" selected="0">
            <x v="14"/>
          </reference>
          <reference field="4" count="1" selected="0">
            <x v="1"/>
          </reference>
          <reference field="33" count="1" selected="0">
            <x v="0"/>
          </reference>
        </references>
      </pivotArea>
    </format>
    <format dxfId="588">
      <pivotArea outline="0" fieldPosition="0">
        <references count="4">
          <reference field="4294967294" count="3" selected="0">
            <x v="18"/>
            <x v="19"/>
            <x v="20"/>
          </reference>
          <reference field="0" count="1" selected="0">
            <x v="16"/>
          </reference>
          <reference field="4" count="1" selected="0">
            <x v="0"/>
          </reference>
          <reference field="33" count="1" selected="0">
            <x v="0"/>
          </reference>
        </references>
      </pivotArea>
    </format>
    <format dxfId="587">
      <pivotArea outline="0" fieldPosition="0">
        <references count="4">
          <reference field="4294967294" count="3" selected="0">
            <x v="18"/>
            <x v="19"/>
            <x v="20"/>
          </reference>
          <reference field="0" count="1" selected="0">
            <x v="16"/>
          </reference>
          <reference field="4" count="1" selected="0">
            <x v="5"/>
          </reference>
          <reference field="33" count="1" selected="0">
            <x v="0"/>
          </reference>
        </references>
      </pivotArea>
    </format>
    <format dxfId="586">
      <pivotArea outline="0" fieldPosition="0">
        <references count="4">
          <reference field="4294967294" count="3" selected="0">
            <x v="24"/>
            <x v="25"/>
            <x v="26"/>
          </reference>
          <reference field="0" count="1" selected="0">
            <x v="16"/>
          </reference>
          <reference field="4" count="1" selected="0">
            <x v="5"/>
          </reference>
          <reference field="33" count="1" selected="0">
            <x v="0"/>
          </reference>
        </references>
      </pivotArea>
    </format>
    <format dxfId="585">
      <pivotArea outline="0" fieldPosition="0">
        <references count="4">
          <reference field="4294967294" count="3" selected="0">
            <x v="21"/>
            <x v="22"/>
            <x v="23"/>
          </reference>
          <reference field="0" count="1" selected="0">
            <x v="16"/>
          </reference>
          <reference field="4" count="1" selected="0">
            <x v="2"/>
          </reference>
          <reference field="33" count="1" selected="0">
            <x v="0"/>
          </reference>
        </references>
      </pivotArea>
    </format>
    <format dxfId="584">
      <pivotArea outline="0" fieldPosition="0">
        <references count="4">
          <reference field="4294967294" count="3" selected="0">
            <x v="24"/>
            <x v="25"/>
            <x v="26"/>
          </reference>
          <reference field="0" count="1" selected="0">
            <x v="16"/>
          </reference>
          <reference field="4" count="1" selected="0">
            <x v="2"/>
          </reference>
          <reference field="33" count="1" selected="0">
            <x v="0"/>
          </reference>
        </references>
      </pivotArea>
    </format>
    <format dxfId="583">
      <pivotArea outline="0" fieldPosition="0">
        <references count="4">
          <reference field="4294967294" count="3" selected="0">
            <x v="0"/>
            <x v="1"/>
            <x v="2"/>
          </reference>
          <reference field="0" count="1" selected="0">
            <x v="16"/>
          </reference>
          <reference field="4" count="1" selected="0">
            <x v="8"/>
          </reference>
          <reference field="33" count="1" selected="0">
            <x v="1"/>
          </reference>
        </references>
      </pivotArea>
    </format>
    <format dxfId="582">
      <pivotArea outline="0" fieldPosition="0">
        <references count="4">
          <reference field="4294967294" count="3" selected="0">
            <x v="3"/>
            <x v="4"/>
            <x v="5"/>
          </reference>
          <reference field="0" count="1" selected="0">
            <x v="16"/>
          </reference>
          <reference field="4" count="1" selected="0">
            <x v="8"/>
          </reference>
          <reference field="33" count="1" selected="0">
            <x v="1"/>
          </reference>
        </references>
      </pivotArea>
    </format>
    <format dxfId="581">
      <pivotArea dataOnly="0" labelOnly="1" outline="0" fieldPosition="0">
        <references count="2">
          <reference field="4294967294" count="1">
            <x v="5"/>
          </reference>
          <reference field="0" count="1" selected="0">
            <x v="0"/>
          </reference>
        </references>
      </pivotArea>
    </format>
    <format dxfId="580">
      <pivotArea dataOnly="0" labelOnly="1" outline="0" fieldPosition="0">
        <references count="2">
          <reference field="4294967294" count="1">
            <x v="8"/>
          </reference>
          <reference field="0" count="1" selected="0">
            <x v="0"/>
          </reference>
        </references>
      </pivotArea>
    </format>
    <format dxfId="579">
      <pivotArea dataOnly="0" labelOnly="1" outline="0" fieldPosition="0">
        <references count="2">
          <reference field="4294967294" count="1">
            <x v="11"/>
          </reference>
          <reference field="0" count="1" selected="0">
            <x v="0"/>
          </reference>
        </references>
      </pivotArea>
    </format>
    <format dxfId="578">
      <pivotArea dataOnly="0" labelOnly="1" outline="0" fieldPosition="0">
        <references count="2">
          <reference field="4294967294" count="1">
            <x v="14"/>
          </reference>
          <reference field="0" count="1" selected="0">
            <x v="0"/>
          </reference>
        </references>
      </pivotArea>
    </format>
    <format dxfId="577">
      <pivotArea dataOnly="0" labelOnly="1" outline="0" fieldPosition="0">
        <references count="2">
          <reference field="4294967294" count="1">
            <x v="17"/>
          </reference>
          <reference field="0" count="1" selected="0">
            <x v="0"/>
          </reference>
        </references>
      </pivotArea>
    </format>
    <format dxfId="576">
      <pivotArea dataOnly="0" labelOnly="1" outline="0" fieldPosition="0">
        <references count="2">
          <reference field="4294967294" count="1">
            <x v="20"/>
          </reference>
          <reference field="0" count="1" selected="0">
            <x v="0"/>
          </reference>
        </references>
      </pivotArea>
    </format>
    <format dxfId="575">
      <pivotArea dataOnly="0" labelOnly="1" outline="0" fieldPosition="0">
        <references count="2">
          <reference field="4294967294" count="1">
            <x v="23"/>
          </reference>
          <reference field="0" count="1" selected="0">
            <x v="0"/>
          </reference>
        </references>
      </pivotArea>
    </format>
    <format dxfId="574">
      <pivotArea dataOnly="0" labelOnly="1" outline="0" fieldPosition="0">
        <references count="2">
          <reference field="4294967294" count="1">
            <x v="26"/>
          </reference>
          <reference field="0" count="1" selected="0">
            <x v="0"/>
          </reference>
        </references>
      </pivotArea>
    </format>
    <format dxfId="573">
      <pivotArea dataOnly="0" labelOnly="1" outline="0" fieldPosition="0">
        <references count="2">
          <reference field="4294967294" count="1">
            <x v="29"/>
          </reference>
          <reference field="0" count="1" selected="0">
            <x v="0"/>
          </reference>
        </references>
      </pivotArea>
    </format>
    <format dxfId="572">
      <pivotArea dataOnly="0" labelOnly="1" outline="0" fieldPosition="0">
        <references count="2">
          <reference field="4294967294" count="1">
            <x v="32"/>
          </reference>
          <reference field="0" count="1" selected="0">
            <x v="0"/>
          </reference>
        </references>
      </pivotArea>
    </format>
    <format dxfId="571">
      <pivotArea dataOnly="0" labelOnly="1" outline="0" fieldPosition="0">
        <references count="2">
          <reference field="4294967294" count="1">
            <x v="35"/>
          </reference>
          <reference field="0" count="1" selected="0">
            <x v="0"/>
          </reference>
        </references>
      </pivotArea>
    </format>
    <format dxfId="570">
      <pivotArea outline="0" fieldPosition="0">
        <references count="4">
          <reference field="4294967294" count="3" selected="0">
            <x v="0"/>
            <x v="1"/>
            <x v="2"/>
          </reference>
          <reference field="0" count="1" selected="0">
            <x v="1"/>
          </reference>
          <reference field="4" count="1" selected="0">
            <x v="5"/>
          </reference>
          <reference field="33" count="1" selected="0">
            <x v="0"/>
          </reference>
        </references>
      </pivotArea>
    </format>
    <format dxfId="569">
      <pivotArea outline="0" fieldPosition="0">
        <references count="4">
          <reference field="4294967294" count="1" selected="0">
            <x v="6"/>
          </reference>
          <reference field="0" count="1" selected="0">
            <x v="1"/>
          </reference>
          <reference field="4" count="1" selected="0">
            <x v="0"/>
          </reference>
          <reference field="33" count="1" selected="0">
            <x v="0"/>
          </reference>
        </references>
      </pivotArea>
    </format>
    <format dxfId="568">
      <pivotArea outline="0" fieldPosition="0">
        <references count="4">
          <reference field="4294967294" count="3" selected="0">
            <x v="18"/>
            <x v="19"/>
            <x v="20"/>
          </reference>
          <reference field="0" count="1" selected="0">
            <x v="1"/>
          </reference>
          <reference field="4" count="1" selected="0">
            <x v="5"/>
          </reference>
          <reference field="33" count="1" selected="0">
            <x v="0"/>
          </reference>
        </references>
      </pivotArea>
    </format>
    <format dxfId="567">
      <pivotArea outline="0" fieldPosition="0">
        <references count="4">
          <reference field="4294967294" count="1" selected="0">
            <x v="6"/>
          </reference>
          <reference field="0" count="1" selected="0">
            <x v="1"/>
          </reference>
          <reference field="4" count="1" selected="0">
            <x v="5"/>
          </reference>
          <reference field="33" count="1" selected="0">
            <x v="0"/>
          </reference>
        </references>
      </pivotArea>
    </format>
    <format dxfId="566">
      <pivotArea outline="0" fieldPosition="0">
        <references count="4">
          <reference field="4294967294" count="3" selected="0">
            <x v="6"/>
            <x v="7"/>
            <x v="8"/>
          </reference>
          <reference field="0" count="1" selected="0">
            <x v="1"/>
          </reference>
          <reference field="4" count="1" selected="0">
            <x v="8"/>
          </reference>
          <reference field="33" count="1" selected="0">
            <x v="1"/>
          </reference>
        </references>
      </pivotArea>
    </format>
    <format dxfId="565">
      <pivotArea outline="0" fieldPosition="0">
        <references count="4">
          <reference field="4294967294" count="3" selected="0">
            <x v="0"/>
            <x v="1"/>
            <x v="2"/>
          </reference>
          <reference field="0" count="1" selected="0">
            <x v="1"/>
          </reference>
          <reference field="4" count="1" selected="0">
            <x v="8"/>
          </reference>
          <reference field="33" count="1" selected="0">
            <x v="1"/>
          </reference>
        </references>
      </pivotArea>
    </format>
    <format dxfId="564">
      <pivotArea outline="0" fieldPosition="0">
        <references count="4">
          <reference field="4294967294" count="3" selected="0">
            <x v="0"/>
            <x v="1"/>
            <x v="2"/>
          </reference>
          <reference field="0" count="1" selected="0">
            <x v="1"/>
          </reference>
          <reference field="4" count="1" selected="0">
            <x v="9"/>
          </reference>
          <reference field="33" count="1" selected="0">
            <x v="1"/>
          </reference>
        </references>
      </pivotArea>
    </format>
    <format dxfId="563">
      <pivotArea outline="0" fieldPosition="0">
        <references count="4">
          <reference field="4294967294" count="3" selected="0">
            <x v="3"/>
            <x v="4"/>
            <x v="5"/>
          </reference>
          <reference field="0" count="1" selected="0">
            <x v="1"/>
          </reference>
          <reference field="4" count="1" selected="0">
            <x v="8"/>
          </reference>
          <reference field="33" count="1" selected="0">
            <x v="1"/>
          </reference>
        </references>
      </pivotArea>
    </format>
    <format dxfId="562">
      <pivotArea outline="0" fieldPosition="0">
        <references count="4">
          <reference field="4294967294" count="3" selected="0">
            <x v="6"/>
            <x v="7"/>
            <x v="8"/>
          </reference>
          <reference field="0" count="1" selected="0">
            <x v="1"/>
          </reference>
          <reference field="4" count="1" selected="0">
            <x v="9"/>
          </reference>
          <reference field="33" count="1" selected="0">
            <x v="1"/>
          </reference>
        </references>
      </pivotArea>
    </format>
    <format dxfId="561">
      <pivotArea outline="0" fieldPosition="0">
        <references count="4">
          <reference field="4294967294" count="3" selected="0">
            <x v="18"/>
            <x v="19"/>
            <x v="20"/>
          </reference>
          <reference field="0" count="1" selected="0">
            <x v="1"/>
          </reference>
          <reference field="4" count="1" selected="0">
            <x v="4"/>
          </reference>
          <reference field="33" count="1" selected="0">
            <x v="0"/>
          </reference>
        </references>
      </pivotArea>
    </format>
    <format dxfId="560">
      <pivotArea outline="0" fieldPosition="0">
        <references count="4">
          <reference field="4294967294" count="1" selected="0">
            <x v="18"/>
          </reference>
          <reference field="0" count="1" selected="0">
            <x v="1"/>
          </reference>
          <reference field="4" count="1" selected="0">
            <x v="3"/>
          </reference>
          <reference field="33" count="1" selected="0">
            <x v="0"/>
          </reference>
        </references>
      </pivotArea>
    </format>
    <format dxfId="559">
      <pivotArea outline="0" fieldPosition="0">
        <references count="4">
          <reference field="4294967294" count="3" selected="0">
            <x v="24"/>
            <x v="25"/>
            <x v="26"/>
          </reference>
          <reference field="0" count="1" selected="0">
            <x v="1"/>
          </reference>
          <reference field="4" count="1" selected="0">
            <x v="0"/>
          </reference>
          <reference field="33" count="1" selected="0">
            <x v="0"/>
          </reference>
        </references>
      </pivotArea>
    </format>
    <format dxfId="558">
      <pivotArea outline="0" fieldPosition="0">
        <references count="4">
          <reference field="4294967294" count="3" selected="0">
            <x v="27"/>
            <x v="28"/>
            <x v="29"/>
          </reference>
          <reference field="0" count="1" selected="0">
            <x v="1"/>
          </reference>
          <reference field="4" count="1" selected="0">
            <x v="0"/>
          </reference>
          <reference field="33" count="1" selected="0">
            <x v="0"/>
          </reference>
        </references>
      </pivotArea>
    </format>
    <format dxfId="557">
      <pivotArea outline="0" fieldPosition="0">
        <references count="4">
          <reference field="4294967294" count="3" selected="0">
            <x v="24"/>
            <x v="25"/>
            <x v="26"/>
          </reference>
          <reference field="0" count="1" selected="0">
            <x v="1"/>
          </reference>
          <reference field="4" count="1" selected="0">
            <x v="5"/>
          </reference>
          <reference field="33" count="1" selected="0">
            <x v="0"/>
          </reference>
        </references>
      </pivotArea>
    </format>
    <format dxfId="556">
      <pivotArea outline="0" fieldPosition="0">
        <references count="4">
          <reference field="4294967294" count="1" selected="0">
            <x v="24"/>
          </reference>
          <reference field="0" count="1" selected="0">
            <x v="1"/>
          </reference>
          <reference field="4" count="1" selected="0">
            <x v="3"/>
          </reference>
          <reference field="33" count="1" selected="0">
            <x v="0"/>
          </reference>
        </references>
      </pivotArea>
    </format>
    <format dxfId="555">
      <pivotArea outline="0" fieldPosition="0">
        <references count="4">
          <reference field="4294967294" count="1" selected="0">
            <x v="24"/>
          </reference>
          <reference field="0" count="1" selected="0">
            <x v="1"/>
          </reference>
          <reference field="4" count="1" selected="0">
            <x v="4"/>
          </reference>
          <reference field="33" count="1" selected="0">
            <x v="0"/>
          </reference>
        </references>
      </pivotArea>
    </format>
    <format dxfId="554">
      <pivotArea outline="0" fieldPosition="0">
        <references count="4">
          <reference field="4294967294" count="3" selected="0">
            <x v="18"/>
            <x v="19"/>
            <x v="20"/>
          </reference>
          <reference field="0" count="1" selected="0">
            <x v="1"/>
          </reference>
          <reference field="4" count="1" selected="0">
            <x v="0"/>
          </reference>
          <reference field="33" count="1" selected="0">
            <x v="0"/>
          </reference>
        </references>
      </pivotArea>
    </format>
    <format dxfId="553">
      <pivotArea outline="0" fieldPosition="0">
        <references count="4">
          <reference field="4294967294" count="3" selected="0">
            <x v="21"/>
            <x v="22"/>
            <x v="23"/>
          </reference>
          <reference field="0" count="1" selected="0">
            <x v="1"/>
          </reference>
          <reference field="4" count="1" selected="0">
            <x v="0"/>
          </reference>
          <reference field="33" count="1" selected="0">
            <x v="0"/>
          </reference>
        </references>
      </pivotArea>
    </format>
    <format dxfId="552">
      <pivotArea outline="0" fieldPosition="0">
        <references count="4">
          <reference field="4294967294" count="3" selected="0">
            <x v="18"/>
            <x v="19"/>
            <x v="20"/>
          </reference>
          <reference field="0" count="1" selected="0">
            <x v="1"/>
          </reference>
          <reference field="4" count="1" selected="0">
            <x v="2"/>
          </reference>
          <reference field="33" count="1" selected="0">
            <x v="0"/>
          </reference>
        </references>
      </pivotArea>
    </format>
    <format dxfId="551">
      <pivotArea outline="0" fieldPosition="0">
        <references count="2">
          <reference field="4294967294" count="1" selected="0">
            <x v="26"/>
          </reference>
          <reference field="0" count="1" selected="0">
            <x v="16"/>
          </reference>
        </references>
      </pivotArea>
    </format>
    <format dxfId="550">
      <pivotArea field="0" grandRow="1" outline="0" axis="axisRow" fieldPosition="0">
        <references count="1">
          <reference field="4294967294" count="1" selected="0">
            <x v="2"/>
          </reference>
        </references>
      </pivotArea>
    </format>
    <format dxfId="549">
      <pivotArea field="0" grandRow="1" outline="0" axis="axisRow" fieldPosition="0">
        <references count="1">
          <reference field="4294967294" count="1" selected="0">
            <x v="5"/>
          </reference>
        </references>
      </pivotArea>
    </format>
    <format dxfId="548">
      <pivotArea field="0" grandRow="1" outline="0" axis="axisRow" fieldPosition="0">
        <references count="1">
          <reference field="4294967294" count="1" selected="0">
            <x v="8"/>
          </reference>
        </references>
      </pivotArea>
    </format>
    <format dxfId="547">
      <pivotArea field="0" grandRow="1" outline="0" axis="axisRow" fieldPosition="0">
        <references count="1">
          <reference field="4294967294" count="1" selected="0">
            <x v="11"/>
          </reference>
        </references>
      </pivotArea>
    </format>
    <format dxfId="546">
      <pivotArea field="0" grandRow="1" outline="0" axis="axisRow" fieldPosition="0">
        <references count="1">
          <reference field="4294967294" count="1" selected="0">
            <x v="14"/>
          </reference>
        </references>
      </pivotArea>
    </format>
    <format dxfId="545">
      <pivotArea field="0" grandRow="1" outline="0" axis="axisRow" fieldPosition="0">
        <references count="1">
          <reference field="4294967294" count="1" selected="0">
            <x v="17"/>
          </reference>
        </references>
      </pivotArea>
    </format>
    <format dxfId="544">
      <pivotArea field="0" grandRow="1" outline="0" axis="axisRow" fieldPosition="0">
        <references count="1">
          <reference field="4294967294" count="1" selected="0">
            <x v="20"/>
          </reference>
        </references>
      </pivotArea>
    </format>
    <format dxfId="543">
      <pivotArea field="0" grandRow="1" outline="0" axis="axisRow" fieldPosition="0">
        <references count="1">
          <reference field="4294967294" count="1" selected="0">
            <x v="23"/>
          </reference>
        </references>
      </pivotArea>
    </format>
    <format dxfId="542">
      <pivotArea field="0" grandRow="1" outline="0" axis="axisRow" fieldPosition="0">
        <references count="1">
          <reference field="4294967294" count="1" selected="0">
            <x v="26"/>
          </reference>
        </references>
      </pivotArea>
    </format>
    <format dxfId="541">
      <pivotArea field="0" grandRow="1" outline="0" axis="axisRow" fieldPosition="0">
        <references count="1">
          <reference field="4294967294" count="1" selected="0">
            <x v="29"/>
          </reference>
        </references>
      </pivotArea>
    </format>
    <format dxfId="540">
      <pivotArea field="0" grandRow="1" outline="0" axis="axisRow" fieldPosition="0">
        <references count="1">
          <reference field="4294967294" count="1" selected="0">
            <x v="32"/>
          </reference>
        </references>
      </pivotArea>
    </format>
    <format dxfId="539">
      <pivotArea field="0" grandRow="1" outline="0" axis="axisRow" fieldPosition="0">
        <references count="1">
          <reference field="4294967294" count="1" selected="0">
            <x v="35"/>
          </reference>
        </references>
      </pivotArea>
    </format>
    <format dxfId="538">
      <pivotArea outline="0" fieldPosition="0">
        <references count="2">
          <reference field="4294967294" count="1" selected="0">
            <x v="26"/>
          </reference>
          <reference field="0" count="1" selected="0">
            <x v="1"/>
          </reference>
        </references>
      </pivotArea>
    </format>
    <format dxfId="537">
      <pivotArea outline="0" fieldPosition="0">
        <references count="2">
          <reference field="4294967294" count="1" selected="0">
            <x v="29"/>
          </reference>
          <reference field="0" count="1" selected="0">
            <x v="1"/>
          </reference>
        </references>
      </pivotArea>
    </format>
    <format dxfId="536">
      <pivotArea outline="0" fieldPosition="0">
        <references count="2">
          <reference field="4294967294" count="1" selected="0">
            <x v="32"/>
          </reference>
          <reference field="0" count="1" selected="0">
            <x v="1"/>
          </reference>
        </references>
      </pivotArea>
    </format>
    <format dxfId="535">
      <pivotArea outline="0" fieldPosition="0">
        <references count="2">
          <reference field="4294967294" count="1" selected="0">
            <x v="35"/>
          </reference>
          <reference field="0" count="1" selected="0">
            <x v="1"/>
          </reference>
        </references>
      </pivotArea>
    </format>
    <format dxfId="534">
      <pivotArea outline="0" fieldPosition="0">
        <references count="4">
          <reference field="4294967294" count="1" selected="0">
            <x v="5"/>
          </reference>
          <reference field="0" count="1" selected="0">
            <x v="0"/>
          </reference>
          <reference field="4" count="1" selected="0">
            <x v="9"/>
          </reference>
          <reference field="33" count="1" selected="0">
            <x v="1"/>
          </reference>
        </references>
      </pivotArea>
    </format>
    <format dxfId="533">
      <pivotArea outline="0" fieldPosition="0">
        <references count="4">
          <reference field="4294967294" count="1" selected="0">
            <x v="8"/>
          </reference>
          <reference field="0" count="1" selected="0">
            <x v="0"/>
          </reference>
          <reference field="4" count="1" selected="0">
            <x v="9"/>
          </reference>
          <reference field="33" count="1" selected="0">
            <x v="1"/>
          </reference>
        </references>
      </pivotArea>
    </format>
    <format dxfId="532">
      <pivotArea dataOnly="0" outline="0" fieldPosition="0">
        <references count="1">
          <reference field="4294967294" count="1">
            <x v="2"/>
          </reference>
        </references>
      </pivotArea>
    </format>
    <format dxfId="531">
      <pivotArea outline="0" fieldPosition="0">
        <references count="4">
          <reference field="4294967294" count="3" selected="0">
            <x v="18"/>
            <x v="19"/>
            <x v="20"/>
          </reference>
          <reference field="0" count="1" selected="0">
            <x v="0"/>
          </reference>
          <reference field="4" count="1" selected="0">
            <x v="3"/>
          </reference>
          <reference field="33" count="1" selected="0">
            <x v="0"/>
          </reference>
        </references>
      </pivotArea>
    </format>
    <format dxfId="530">
      <pivotArea outline="0" fieldPosition="0">
        <references count="4">
          <reference field="4294967294" count="3" selected="0">
            <x v="24"/>
            <x v="25"/>
            <x v="26"/>
          </reference>
          <reference field="0" count="1" selected="0">
            <x v="0"/>
          </reference>
          <reference field="4" count="2" selected="0">
            <x v="3"/>
            <x v="4"/>
          </reference>
          <reference field="33" count="1" selected="0">
            <x v="0"/>
          </reference>
        </references>
      </pivotArea>
    </format>
    <format dxfId="529">
      <pivotArea outline="0" fieldPosition="0">
        <references count="3">
          <reference field="4294967294" count="1" selected="0">
            <x v="2"/>
          </reference>
          <reference field="0" count="1" selected="0">
            <x v="4"/>
          </reference>
          <reference field="33" count="1" selected="0" defaultSubtotal="1">
            <x v="2"/>
          </reference>
        </references>
      </pivotArea>
    </format>
    <format dxfId="528">
      <pivotArea outline="0" fieldPosition="0">
        <references count="4">
          <reference field="4294967294" count="3" selected="0">
            <x v="0"/>
            <x v="1"/>
            <x v="2"/>
          </reference>
          <reference field="0" count="1" selected="0">
            <x v="6"/>
          </reference>
          <reference field="4" count="1" selected="0">
            <x v="1"/>
          </reference>
          <reference field="33" count="1" selected="0">
            <x v="0"/>
          </reference>
        </references>
      </pivotArea>
    </format>
    <format dxfId="527">
      <pivotArea outline="0" fieldPosition="0">
        <references count="4">
          <reference field="4294967294" count="3" selected="0">
            <x v="6"/>
            <x v="7"/>
            <x v="8"/>
          </reference>
          <reference field="0" count="1" selected="0">
            <x v="6"/>
          </reference>
          <reference field="4" count="1" selected="0">
            <x v="1"/>
          </reference>
          <reference field="33" count="1" selected="0">
            <x v="0"/>
          </reference>
        </references>
      </pivotArea>
    </format>
    <format dxfId="526">
      <pivotArea outline="0" fieldPosition="0">
        <references count="4">
          <reference field="4294967294" count="3" selected="0">
            <x v="0"/>
            <x v="1"/>
            <x v="2"/>
          </reference>
          <reference field="0" count="1" selected="0">
            <x v="6"/>
          </reference>
          <reference field="4" count="1" selected="0">
            <x v="1"/>
          </reference>
          <reference field="33" count="1" selected="0">
            <x v="0"/>
          </reference>
        </references>
      </pivotArea>
    </format>
    <format dxfId="525">
      <pivotArea outline="0" fieldPosition="0">
        <references count="4">
          <reference field="4294967294" count="3" selected="0">
            <x v="6"/>
            <x v="7"/>
            <x v="8"/>
          </reference>
          <reference field="0" count="1" selected="0">
            <x v="6"/>
          </reference>
          <reference field="4" count="1" selected="0">
            <x v="1"/>
          </reference>
          <reference field="33" count="1" selected="0">
            <x v="0"/>
          </reference>
        </references>
      </pivotArea>
    </format>
    <format dxfId="524">
      <pivotArea outline="0" fieldPosition="0">
        <references count="4">
          <reference field="4294967294" count="3" selected="0">
            <x v="3"/>
            <x v="4"/>
            <x v="5"/>
          </reference>
          <reference field="0" count="1" selected="0">
            <x v="8"/>
          </reference>
          <reference field="4" count="1" selected="0">
            <x v="12"/>
          </reference>
          <reference field="33" count="1" selected="0">
            <x v="0"/>
          </reference>
        </references>
      </pivotArea>
    </format>
    <format dxfId="523">
      <pivotArea outline="0" fieldPosition="0">
        <references count="4">
          <reference field="4294967294" count="3" selected="0">
            <x v="6"/>
            <x v="7"/>
            <x v="8"/>
          </reference>
          <reference field="0" count="1" selected="0">
            <x v="8"/>
          </reference>
          <reference field="4" count="1" selected="0">
            <x v="12"/>
          </reference>
          <reference field="33" count="1" selected="0">
            <x v="0"/>
          </reference>
        </references>
      </pivotArea>
    </format>
    <format dxfId="522">
      <pivotArea outline="0" fieldPosition="0">
        <references count="4">
          <reference field="4294967294" count="1" selected="0">
            <x v="20"/>
          </reference>
          <reference field="0" count="1" selected="0">
            <x v="0"/>
          </reference>
          <reference field="4" count="2" selected="0">
            <x v="3"/>
            <x v="4"/>
          </reference>
          <reference field="33" count="1" selected="0">
            <x v="0"/>
          </reference>
        </references>
      </pivotArea>
    </format>
    <format dxfId="521">
      <pivotArea outline="0" fieldPosition="0">
        <references count="4">
          <reference field="4294967294" count="1" selected="0">
            <x v="26"/>
          </reference>
          <reference field="0" count="1" selected="0">
            <x v="0"/>
          </reference>
          <reference field="4" count="2" selected="0">
            <x v="3"/>
            <x v="4"/>
          </reference>
          <reference field="33" count="1" selected="0">
            <x v="0"/>
          </reference>
        </references>
      </pivotArea>
    </format>
    <format dxfId="520">
      <pivotArea outline="0" fieldPosition="0">
        <references count="4">
          <reference field="4294967294" count="2" selected="0">
            <x v="18"/>
            <x v="19"/>
          </reference>
          <reference field="0" count="1" selected="0">
            <x v="0"/>
          </reference>
          <reference field="4" count="2" selected="0">
            <x v="3"/>
            <x v="4"/>
          </reference>
          <reference field="33" count="1" selected="0">
            <x v="0"/>
          </reference>
        </references>
      </pivotArea>
    </format>
    <format dxfId="519">
      <pivotArea outline="0" fieldPosition="0">
        <references count="4">
          <reference field="4294967294" count="2" selected="0">
            <x v="24"/>
            <x v="25"/>
          </reference>
          <reference field="0" count="1" selected="0">
            <x v="0"/>
          </reference>
          <reference field="4" count="2" selected="0">
            <x v="3"/>
            <x v="4"/>
          </reference>
          <reference field="33" count="1" selected="0">
            <x v="0"/>
          </reference>
        </references>
      </pivotArea>
    </format>
    <format dxfId="518">
      <pivotArea outline="0" fieldPosition="0">
        <references count="2">
          <reference field="4294967294" count="12" selected="0">
            <x v="0"/>
            <x v="1"/>
            <x v="2"/>
            <x v="3"/>
            <x v="4"/>
            <x v="5"/>
            <x v="6"/>
            <x v="7"/>
            <x v="8"/>
            <x v="9"/>
            <x v="10"/>
            <x v="11"/>
          </reference>
          <reference field="0" count="1" selected="0">
            <x v="0"/>
          </reference>
        </references>
      </pivotArea>
    </format>
    <format dxfId="517">
      <pivotArea outline="0" fieldPosition="0">
        <references count="2">
          <reference field="4294967294" count="24" selected="0">
            <x v="12"/>
            <x v="13"/>
            <x v="14"/>
            <x v="15"/>
            <x v="16"/>
            <x v="17"/>
            <x v="18"/>
            <x v="19"/>
            <x v="20"/>
            <x v="21"/>
            <x v="22"/>
            <x v="23"/>
            <x v="24"/>
            <x v="25"/>
            <x v="26"/>
            <x v="27"/>
            <x v="28"/>
            <x v="29"/>
            <x v="30"/>
            <x v="31"/>
            <x v="32"/>
            <x v="33"/>
            <x v="34"/>
            <x v="35"/>
          </reference>
          <reference field="0" count="1" selected="0">
            <x v="0"/>
          </reference>
        </references>
      </pivotArea>
    </format>
    <format dxfId="516">
      <pivotArea outline="0" fieldPosition="0">
        <references count="2">
          <reference field="4294967294" count="26" selected="0">
            <x v="0"/>
            <x v="1"/>
            <x v="2"/>
            <x v="3"/>
            <x v="4"/>
            <x v="5"/>
            <x v="6"/>
            <x v="7"/>
            <x v="8"/>
            <x v="9"/>
            <x v="10"/>
            <x v="11"/>
            <x v="12"/>
            <x v="13"/>
            <x v="14"/>
            <x v="15"/>
            <x v="16"/>
            <x v="17"/>
            <x v="18"/>
            <x v="19"/>
            <x v="20"/>
            <x v="21"/>
            <x v="22"/>
            <x v="23"/>
            <x v="24"/>
            <x v="25"/>
          </reference>
          <reference field="0" count="1" selected="0">
            <x v="1"/>
          </reference>
        </references>
      </pivotArea>
    </format>
    <format dxfId="515">
      <pivotArea outline="0" fieldPosition="0">
        <references count="4">
          <reference field="4294967294" count="1" selected="0">
            <x v="2"/>
          </reference>
          <reference field="0" count="1" selected="0">
            <x v="0"/>
          </reference>
          <reference field="4" count="5" selected="0">
            <x v="2"/>
            <x v="3"/>
            <x v="4"/>
            <x v="5"/>
            <x v="12"/>
          </reference>
          <reference field="33" count="1" selected="0">
            <x v="0"/>
          </reference>
        </references>
      </pivotArea>
    </format>
    <format dxfId="514">
      <pivotArea outline="0" fieldPosition="0">
        <references count="3">
          <reference field="4294967294" count="1" selected="0">
            <x v="2"/>
          </reference>
          <reference field="0" count="1" selected="0">
            <x v="0"/>
          </reference>
          <reference field="33" count="1" selected="0" defaultSubtotal="1">
            <x v="0"/>
          </reference>
        </references>
      </pivotArea>
    </format>
    <format dxfId="513">
      <pivotArea outline="0" fieldPosition="0">
        <references count="3">
          <reference field="4294967294" count="1" selected="0">
            <x v="2"/>
          </reference>
          <reference field="0" count="1" selected="0">
            <x v="0"/>
          </reference>
          <reference field="33" count="2" selected="0" defaultSubtotal="1">
            <x v="1"/>
            <x v="2"/>
          </reference>
        </references>
      </pivotArea>
    </format>
    <format dxfId="512">
      <pivotArea outline="0" fieldPosition="0">
        <references count="4">
          <reference field="4294967294" count="1" selected="0">
            <x v="2"/>
          </reference>
          <reference field="0" count="1" selected="0">
            <x v="0"/>
          </reference>
          <reference field="4" count="3" selected="0">
            <x v="7"/>
            <x v="8"/>
            <x v="9"/>
          </reference>
          <reference field="33" count="1" selected="0">
            <x v="1"/>
          </reference>
        </references>
      </pivotArea>
    </format>
    <format dxfId="511">
      <pivotArea outline="0" fieldPosition="0">
        <references count="4">
          <reference field="4294967294" count="1" selected="0">
            <x v="2"/>
          </reference>
          <reference field="0" count="1" selected="0">
            <x v="0"/>
          </reference>
          <reference field="4" count="2" selected="0">
            <x v="11"/>
            <x v="14"/>
          </reference>
          <reference field="33" count="1" selected="0">
            <x v="2"/>
          </reference>
        </references>
      </pivotArea>
    </format>
    <format dxfId="510">
      <pivotArea field="33" grandRow="1" outline="0" axis="axisCol" fieldPosition="0">
        <references count="3">
          <reference field="4294967294" count="1" selected="0">
            <x v="26"/>
          </reference>
          <reference field="4" count="1" selected="0">
            <x v="1"/>
          </reference>
          <reference field="33" count="1" selected="0">
            <x v="0"/>
          </reference>
        </references>
      </pivotArea>
    </format>
    <format dxfId="509">
      <pivotArea outline="0" fieldPosition="0">
        <references count="2">
          <reference field="4" count="6" selected="0">
            <x v="1"/>
            <x v="2"/>
            <x v="3"/>
            <x v="4"/>
            <x v="5"/>
            <x v="12"/>
          </reference>
          <reference field="33" count="1" selected="0">
            <x v="0"/>
          </reference>
        </references>
      </pivotArea>
    </format>
    <format dxfId="508">
      <pivotArea field="4" type="button" dataOnly="0" labelOnly="1" outline="0" axis="axisCol" fieldPosition="1"/>
    </format>
    <format dxfId="507">
      <pivotArea type="topRight" dataOnly="0" labelOnly="1" outline="0" fieldPosition="0"/>
    </format>
    <format dxfId="506">
      <pivotArea dataOnly="0" labelOnly="1" outline="0" offset="B256:IV256" fieldPosition="0">
        <references count="1">
          <reference field="33" count="1">
            <x v="0"/>
          </reference>
        </references>
      </pivotArea>
    </format>
    <format dxfId="505">
      <pivotArea dataOnly="0" labelOnly="1" outline="0" fieldPosition="0">
        <references count="2">
          <reference field="4" count="6">
            <x v="1"/>
            <x v="2"/>
            <x v="3"/>
            <x v="4"/>
            <x v="5"/>
            <x v="12"/>
          </reference>
          <reference field="33" count="1" selected="0">
            <x v="0"/>
          </reference>
        </references>
      </pivotArea>
    </format>
    <format dxfId="504">
      <pivotArea outline="0" fieldPosition="0">
        <references count="1">
          <reference field="33" count="1" selected="0" defaultSubtotal="1">
            <x v="0"/>
          </reference>
        </references>
      </pivotArea>
    </format>
    <format dxfId="503">
      <pivotArea dataOnly="0" labelOnly="1" outline="0" fieldPosition="0">
        <references count="1">
          <reference field="33" count="1" defaultSubtotal="1">
            <x v="0"/>
          </reference>
        </references>
      </pivotArea>
    </format>
    <format dxfId="502">
      <pivotArea outline="0" fieldPosition="0">
        <references count="4">
          <reference field="4294967294" count="3" selected="0">
            <x v="18"/>
            <x v="19"/>
            <x v="20"/>
          </reference>
          <reference field="0" count="1" selected="0">
            <x v="0"/>
          </reference>
          <reference field="4" count="1" selected="0">
            <x v="4"/>
          </reference>
          <reference field="33" count="1" selected="0">
            <x v="0"/>
          </reference>
        </references>
      </pivotArea>
    </format>
    <format dxfId="501">
      <pivotArea outline="0" fieldPosition="0">
        <references count="4">
          <reference field="4294967294" count="3" selected="0">
            <x v="24"/>
            <x v="25"/>
            <x v="26"/>
          </reference>
          <reference field="0" count="1" selected="0">
            <x v="0"/>
          </reference>
          <reference field="4" count="1" selected="0">
            <x v="4"/>
          </reference>
          <reference field="33" count="1" selected="0">
            <x v="0"/>
          </reference>
        </references>
      </pivotArea>
    </format>
    <format dxfId="500">
      <pivotArea outline="0" fieldPosition="0">
        <references count="3">
          <reference field="4294967294" count="31" selected="0">
            <x v="0"/>
            <x v="1"/>
            <x v="2"/>
            <x v="3"/>
            <x v="4"/>
            <x v="5"/>
            <x v="6"/>
            <x v="7"/>
            <x v="8"/>
            <x v="9"/>
            <x v="10"/>
            <x v="11"/>
            <x v="12"/>
            <x v="13"/>
            <x v="14"/>
            <x v="15"/>
            <x v="16"/>
            <x v="17"/>
            <x v="18"/>
            <x v="19"/>
            <x v="20"/>
            <x v="21"/>
            <x v="22"/>
            <x v="23"/>
            <x v="24"/>
            <x v="25"/>
            <x v="26"/>
            <x v="27"/>
            <x v="28"/>
            <x v="29"/>
            <x v="30"/>
          </reference>
          <reference field="0" count="1" selected="0">
            <x v="0"/>
          </reference>
          <reference field="33" count="2" selected="0" defaultSubtotal="1">
            <x v="0"/>
            <x v="1"/>
          </reference>
        </references>
      </pivotArea>
    </format>
    <format dxfId="499">
      <pivotArea outline="0" fieldPosition="0">
        <references count="4">
          <reference field="4294967294" count="31" selected="0">
            <x v="0"/>
            <x v="1"/>
            <x v="2"/>
            <x v="3"/>
            <x v="4"/>
            <x v="5"/>
            <x v="6"/>
            <x v="7"/>
            <x v="8"/>
            <x v="9"/>
            <x v="10"/>
            <x v="11"/>
            <x v="12"/>
            <x v="13"/>
            <x v="14"/>
            <x v="15"/>
            <x v="16"/>
            <x v="17"/>
            <x v="18"/>
            <x v="19"/>
            <x v="20"/>
            <x v="21"/>
            <x v="22"/>
            <x v="23"/>
            <x v="24"/>
            <x v="25"/>
            <x v="26"/>
            <x v="27"/>
            <x v="28"/>
            <x v="29"/>
            <x v="30"/>
          </reference>
          <reference field="0" count="1" selected="0">
            <x v="0"/>
          </reference>
          <reference field="4" count="2" selected="0">
            <x v="10"/>
            <x v="11"/>
          </reference>
          <reference field="33" count="1" selected="0">
            <x v="2"/>
          </reference>
        </references>
      </pivotArea>
    </format>
    <format dxfId="498">
      <pivotArea outline="0" fieldPosition="0">
        <references count="2">
          <reference field="4294967294" count="1" selected="0">
            <x v="5"/>
          </reference>
          <reference field="0" count="1" selected="0">
            <x v="0"/>
          </reference>
        </references>
      </pivotArea>
    </format>
    <format dxfId="497">
      <pivotArea outline="0" fieldPosition="0">
        <references count="2">
          <reference field="4294967294" count="1" selected="0">
            <x v="8"/>
          </reference>
          <reference field="0" count="1" selected="0">
            <x v="0"/>
          </reference>
        </references>
      </pivotArea>
    </format>
    <format dxfId="496">
      <pivotArea outline="0" fieldPosition="0">
        <references count="2">
          <reference field="4294967294" count="1" selected="0">
            <x v="11"/>
          </reference>
          <reference field="0" count="1" selected="0">
            <x v="0"/>
          </reference>
        </references>
      </pivotArea>
    </format>
    <format dxfId="495">
      <pivotArea outline="0" fieldPosition="0">
        <references count="2">
          <reference field="4294967294" count="1" selected="0">
            <x v="14"/>
          </reference>
          <reference field="0" count="1" selected="0">
            <x v="0"/>
          </reference>
        </references>
      </pivotArea>
    </format>
    <format dxfId="494">
      <pivotArea outline="0" fieldPosition="0">
        <references count="2">
          <reference field="4294967294" count="1" selected="0">
            <x v="17"/>
          </reference>
          <reference field="0" count="1" selected="0">
            <x v="0"/>
          </reference>
        </references>
      </pivotArea>
    </format>
    <format dxfId="493">
      <pivotArea outline="0" fieldPosition="0">
        <references count="2">
          <reference field="4294967294" count="1" selected="0">
            <x v="20"/>
          </reference>
          <reference field="0" count="1" selected="0">
            <x v="0"/>
          </reference>
        </references>
      </pivotArea>
    </format>
    <format dxfId="492">
      <pivotArea outline="0" fieldPosition="0">
        <references count="2">
          <reference field="4294967294" count="1" selected="0">
            <x v="23"/>
          </reference>
          <reference field="0" count="1" selected="0">
            <x v="0"/>
          </reference>
        </references>
      </pivotArea>
    </format>
    <format dxfId="491">
      <pivotArea outline="0" fieldPosition="0">
        <references count="2">
          <reference field="4294967294" count="1" selected="0">
            <x v="26"/>
          </reference>
          <reference field="0" count="1" selected="0">
            <x v="0"/>
          </reference>
        </references>
      </pivotArea>
    </format>
    <format dxfId="490">
      <pivotArea outline="0" fieldPosition="0">
        <references count="2">
          <reference field="4294967294" count="1" selected="0">
            <x v="29"/>
          </reference>
          <reference field="0" count="1" selected="0">
            <x v="0"/>
          </reference>
        </references>
      </pivotArea>
    </format>
    <format dxfId="489">
      <pivotArea outline="0" fieldPosition="0">
        <references count="2">
          <reference field="4294967294" count="1" selected="0">
            <x v="32"/>
          </reference>
          <reference field="0" count="1" selected="0">
            <x v="0"/>
          </reference>
        </references>
      </pivotArea>
    </format>
    <format dxfId="488">
      <pivotArea outline="0" fieldPosition="0">
        <references count="2">
          <reference field="4294967294" count="1" selected="0">
            <x v="35"/>
          </reference>
          <reference field="0" count="1" selected="0">
            <x v="0"/>
          </reference>
        </references>
      </pivotArea>
    </format>
    <format dxfId="487">
      <pivotArea outline="0" fieldPosition="0">
        <references count="4">
          <reference field="4294967294" count="2" selected="0">
            <x v="6"/>
            <x v="7"/>
          </reference>
          <reference field="0" count="1" selected="0">
            <x v="9"/>
          </reference>
          <reference field="4" count="3" selected="0">
            <x v="7"/>
            <x v="8"/>
            <x v="9"/>
          </reference>
          <reference field="33" count="1" selected="0">
            <x v="1"/>
          </reference>
        </references>
      </pivotArea>
    </format>
    <format dxfId="486">
      <pivotArea outline="0" fieldPosition="0">
        <references count="3">
          <reference field="4294967294" count="2" selected="0">
            <x v="6"/>
            <x v="7"/>
          </reference>
          <reference field="0" count="1" selected="0">
            <x v="9"/>
          </reference>
          <reference field="33" count="1" selected="0" defaultSubtotal="1">
            <x v="1"/>
          </reference>
        </references>
      </pivotArea>
    </format>
    <format dxfId="485">
      <pivotArea outline="0" fieldPosition="0">
        <references count="4">
          <reference field="4294967294" count="3" selected="0">
            <x v="0"/>
            <x v="1"/>
            <x v="2"/>
          </reference>
          <reference field="0" count="1" selected="0">
            <x v="0"/>
          </reference>
          <reference field="4" count="1" selected="0">
            <x v="7"/>
          </reference>
          <reference field="33" count="1" selected="0">
            <x v="1"/>
          </reference>
        </references>
      </pivotArea>
    </format>
    <format dxfId="484">
      <pivotArea outline="0" fieldPosition="0">
        <references count="4">
          <reference field="4294967294" count="3" selected="0">
            <x v="6"/>
            <x v="7"/>
            <x v="8"/>
          </reference>
          <reference field="0" count="1" selected="0">
            <x v="0"/>
          </reference>
          <reference field="4" count="1" selected="0">
            <x v="5"/>
          </reference>
          <reference field="33" count="1" selected="0">
            <x v="0"/>
          </reference>
        </references>
      </pivotArea>
    </format>
    <format dxfId="483">
      <pivotArea outline="0" fieldPosition="0">
        <references count="4">
          <reference field="4294967294" count="1" selected="0">
            <x v="8"/>
          </reference>
          <reference field="0" count="1" selected="0">
            <x v="9"/>
          </reference>
          <reference field="4" count="3" selected="0">
            <x v="7"/>
            <x v="8"/>
            <x v="9"/>
          </reference>
          <reference field="33" count="1" selected="0">
            <x v="1"/>
          </reference>
        </references>
      </pivotArea>
    </format>
    <format dxfId="482">
      <pivotArea outline="0" fieldPosition="0">
        <references count="3">
          <reference field="4294967294" count="1" selected="0">
            <x v="8"/>
          </reference>
          <reference field="0" count="1" selected="0">
            <x v="9"/>
          </reference>
          <reference field="33" count="1" selected="0" defaultSubtotal="1">
            <x v="1"/>
          </reference>
        </references>
      </pivotArea>
    </format>
    <format dxfId="481">
      <pivotArea outline="0" fieldPosition="0">
        <references count="4">
          <reference field="4294967294" count="1" selected="0">
            <x v="1"/>
          </reference>
          <reference field="0" count="1" selected="0">
            <x v="9"/>
          </reference>
          <reference field="4" count="3" selected="0">
            <x v="7"/>
            <x v="8"/>
            <x v="9"/>
          </reference>
          <reference field="33" count="1" selected="0">
            <x v="1"/>
          </reference>
        </references>
      </pivotArea>
    </format>
    <format dxfId="480">
      <pivotArea outline="0" fieldPosition="0">
        <references count="3">
          <reference field="4294967294" count="1" selected="0">
            <x v="1"/>
          </reference>
          <reference field="0" count="1" selected="0">
            <x v="9"/>
          </reference>
          <reference field="33" count="1" selected="0" defaultSubtotal="1">
            <x v="1"/>
          </reference>
        </references>
      </pivotArea>
    </format>
    <format dxfId="479">
      <pivotArea outline="0" fieldPosition="0">
        <references count="4">
          <reference field="4294967294" count="1" selected="0">
            <x v="7"/>
          </reference>
          <reference field="0" count="1" selected="0">
            <x v="9"/>
          </reference>
          <reference field="4" count="3" selected="0">
            <x v="7"/>
            <x v="8"/>
            <x v="9"/>
          </reference>
          <reference field="33" count="1" selected="0">
            <x v="1"/>
          </reference>
        </references>
      </pivotArea>
    </format>
    <format dxfId="478">
      <pivotArea outline="0" fieldPosition="0">
        <references count="3">
          <reference field="4294967294" count="1" selected="0">
            <x v="7"/>
          </reference>
          <reference field="0" count="1" selected="0">
            <x v="9"/>
          </reference>
          <reference field="33" count="1" selected="0" defaultSubtotal="1">
            <x v="1"/>
          </reference>
        </references>
      </pivotArea>
    </format>
    <format dxfId="477">
      <pivotArea outline="0" fieldPosition="0">
        <references count="4">
          <reference field="4294967294" count="1" selected="0">
            <x v="5"/>
          </reference>
          <reference field="0" count="1" selected="0">
            <x v="0"/>
          </reference>
          <reference field="4" count="1" selected="0">
            <x v="0"/>
          </reference>
          <reference field="33" count="1" selected="0">
            <x v="0"/>
          </reference>
        </references>
      </pivotArea>
    </format>
    <format dxfId="476">
      <pivotArea outline="0" fieldPosition="0">
        <references count="4">
          <reference field="4294967294" count="1" selected="0">
            <x v="8"/>
          </reference>
          <reference field="0" count="1" selected="0">
            <x v="0"/>
          </reference>
          <reference field="4" count="1" selected="0">
            <x v="0"/>
          </reference>
          <reference field="33" count="1" selected="0">
            <x v="0"/>
          </reference>
        </references>
      </pivotArea>
    </format>
    <format dxfId="475">
      <pivotArea outline="0" fieldPosition="0">
        <references count="4">
          <reference field="4294967294" count="1" selected="0">
            <x v="11"/>
          </reference>
          <reference field="0" count="1" selected="0">
            <x v="0"/>
          </reference>
          <reference field="4" count="1" selected="0">
            <x v="0"/>
          </reference>
          <reference field="33" count="1" selected="0">
            <x v="0"/>
          </reference>
        </references>
      </pivotArea>
    </format>
    <format dxfId="474">
      <pivotArea outline="0" fieldPosition="0">
        <references count="4">
          <reference field="4294967294" count="1" selected="0">
            <x v="14"/>
          </reference>
          <reference field="0" count="1" selected="0">
            <x v="0"/>
          </reference>
          <reference field="4" count="1" selected="0">
            <x v="0"/>
          </reference>
          <reference field="33" count="1" selected="0">
            <x v="0"/>
          </reference>
        </references>
      </pivotArea>
    </format>
    <format dxfId="473">
      <pivotArea outline="0" fieldPosition="0">
        <references count="4">
          <reference field="4294967294" count="1" selected="0">
            <x v="17"/>
          </reference>
          <reference field="0" count="1" selected="0">
            <x v="0"/>
          </reference>
          <reference field="4" count="1" selected="0">
            <x v="0"/>
          </reference>
          <reference field="33" count="1" selected="0">
            <x v="0"/>
          </reference>
        </references>
      </pivotArea>
    </format>
    <format dxfId="472">
      <pivotArea outline="0" fieldPosition="0">
        <references count="4">
          <reference field="4294967294" count="1" selected="0">
            <x v="20"/>
          </reference>
          <reference field="0" count="1" selected="0">
            <x v="0"/>
          </reference>
          <reference field="4" count="1" selected="0">
            <x v="0"/>
          </reference>
          <reference field="33" count="1" selected="0">
            <x v="0"/>
          </reference>
        </references>
      </pivotArea>
    </format>
    <format dxfId="471">
      <pivotArea outline="0" fieldPosition="0">
        <references count="4">
          <reference field="4294967294" count="1" selected="0">
            <x v="23"/>
          </reference>
          <reference field="0" count="1" selected="0">
            <x v="0"/>
          </reference>
          <reference field="4" count="1" selected="0">
            <x v="0"/>
          </reference>
          <reference field="33" count="1" selected="0">
            <x v="0"/>
          </reference>
        </references>
      </pivotArea>
    </format>
    <format dxfId="470">
      <pivotArea outline="0" fieldPosition="0">
        <references count="4">
          <reference field="4294967294" count="1" selected="0">
            <x v="26"/>
          </reference>
          <reference field="0" count="1" selected="0">
            <x v="0"/>
          </reference>
          <reference field="4" count="1" selected="0">
            <x v="0"/>
          </reference>
          <reference field="33" count="1" selected="0">
            <x v="0"/>
          </reference>
        </references>
      </pivotArea>
    </format>
    <format dxfId="469">
      <pivotArea outline="0" fieldPosition="0">
        <references count="4">
          <reference field="4294967294" count="1" selected="0">
            <x v="29"/>
          </reference>
          <reference field="0" count="1" selected="0">
            <x v="0"/>
          </reference>
          <reference field="4" count="1" selected="0">
            <x v="0"/>
          </reference>
          <reference field="33" count="1" selected="0">
            <x v="0"/>
          </reference>
        </references>
      </pivotArea>
    </format>
    <format dxfId="468">
      <pivotArea outline="0" fieldPosition="0">
        <references count="4">
          <reference field="4294967294" count="1" selected="0">
            <x v="32"/>
          </reference>
          <reference field="0" count="1" selected="0">
            <x v="0"/>
          </reference>
          <reference field="4" count="1" selected="0">
            <x v="0"/>
          </reference>
          <reference field="33" count="1" selected="0">
            <x v="0"/>
          </reference>
        </references>
      </pivotArea>
    </format>
    <format dxfId="467">
      <pivotArea outline="0" fieldPosition="0">
        <references count="4">
          <reference field="4294967294" count="1" selected="0">
            <x v="35"/>
          </reference>
          <reference field="0" count="1" selected="0">
            <x v="0"/>
          </reference>
          <reference field="4" count="1" selected="0">
            <x v="0"/>
          </reference>
          <reference field="33" count="1" selected="0">
            <x v="0"/>
          </reference>
        </references>
      </pivotArea>
    </format>
    <format dxfId="466">
      <pivotArea outline="0" fieldPosition="0">
        <references count="4">
          <reference field="4294967294" count="1" selected="0">
            <x v="0"/>
          </reference>
          <reference field="0" count="1" selected="0">
            <x v="1"/>
          </reference>
          <reference field="4" count="1" selected="0">
            <x v="0"/>
          </reference>
          <reference field="33" count="1" selected="0">
            <x v="0"/>
          </reference>
        </references>
      </pivotArea>
    </format>
    <format dxfId="465">
      <pivotArea outline="0" fieldPosition="0">
        <references count="4">
          <reference field="4294967294" count="1" selected="0">
            <x v="0"/>
          </reference>
          <reference field="0" count="1" selected="0">
            <x v="3"/>
          </reference>
          <reference field="4" count="1" selected="0">
            <x v="0"/>
          </reference>
          <reference field="33" count="1" selected="0">
            <x v="0"/>
          </reference>
        </references>
      </pivotArea>
    </format>
    <format dxfId="464">
      <pivotArea outline="0" fieldPosition="0">
        <references count="4">
          <reference field="4294967294" count="1" selected="0">
            <x v="0"/>
          </reference>
          <reference field="0" count="1" selected="0">
            <x v="4"/>
          </reference>
          <reference field="4" count="1" selected="0">
            <x v="0"/>
          </reference>
          <reference field="33" count="1" selected="0">
            <x v="0"/>
          </reference>
        </references>
      </pivotArea>
    </format>
    <format dxfId="463">
      <pivotArea outline="0" fieldPosition="0">
        <references count="4">
          <reference field="4294967294" count="1" selected="0">
            <x v="0"/>
          </reference>
          <reference field="0" count="1" selected="0">
            <x v="6"/>
          </reference>
          <reference field="4" count="1" selected="0">
            <x v="0"/>
          </reference>
          <reference field="33" count="1" selected="0">
            <x v="0"/>
          </reference>
        </references>
      </pivotArea>
    </format>
    <format dxfId="462">
      <pivotArea outline="0" fieldPosition="0">
        <references count="4">
          <reference field="4294967294" count="1" selected="0">
            <x v="0"/>
          </reference>
          <reference field="0" count="1" selected="0">
            <x v="8"/>
          </reference>
          <reference field="4" count="1" selected="0">
            <x v="0"/>
          </reference>
          <reference field="33" count="1" selected="0">
            <x v="0"/>
          </reference>
        </references>
      </pivotArea>
    </format>
    <format dxfId="461">
      <pivotArea outline="0" fieldPosition="0">
        <references count="4">
          <reference field="4294967294" count="1" selected="0">
            <x v="0"/>
          </reference>
          <reference field="0" count="1" selected="0">
            <x v="9"/>
          </reference>
          <reference field="4" count="1" selected="0">
            <x v="0"/>
          </reference>
          <reference field="33" count="1" selected="0">
            <x v="0"/>
          </reference>
        </references>
      </pivotArea>
    </format>
    <format dxfId="460">
      <pivotArea outline="0" fieldPosition="0">
        <references count="4">
          <reference field="4294967294" count="1" selected="0">
            <x v="0"/>
          </reference>
          <reference field="0" count="1" selected="0">
            <x v="10"/>
          </reference>
          <reference field="4" count="1" selected="0">
            <x v="0"/>
          </reference>
          <reference field="33" count="1" selected="0">
            <x v="0"/>
          </reference>
        </references>
      </pivotArea>
    </format>
    <format dxfId="459">
      <pivotArea outline="0" fieldPosition="0">
        <references count="4">
          <reference field="4294967294" count="1" selected="0">
            <x v="0"/>
          </reference>
          <reference field="0" count="1" selected="0">
            <x v="11"/>
          </reference>
          <reference field="4" count="1" selected="0">
            <x v="0"/>
          </reference>
          <reference field="33" count="1" selected="0">
            <x v="0"/>
          </reference>
        </references>
      </pivotArea>
    </format>
    <format dxfId="458">
      <pivotArea outline="0" fieldPosition="0">
        <references count="4">
          <reference field="4294967294" count="1" selected="0">
            <x v="0"/>
          </reference>
          <reference field="0" count="1" selected="0">
            <x v="12"/>
          </reference>
          <reference field="4" count="1" selected="0">
            <x v="0"/>
          </reference>
          <reference field="33" count="1" selected="0">
            <x v="0"/>
          </reference>
        </references>
      </pivotArea>
    </format>
    <format dxfId="457">
      <pivotArea outline="0" fieldPosition="0">
        <references count="4">
          <reference field="4294967294" count="1" selected="0">
            <x v="0"/>
          </reference>
          <reference field="0" count="1" selected="0">
            <x v="13"/>
          </reference>
          <reference field="4" count="1" selected="0">
            <x v="0"/>
          </reference>
          <reference field="33" count="1" selected="0">
            <x v="0"/>
          </reference>
        </references>
      </pivotArea>
    </format>
    <format dxfId="456">
      <pivotArea outline="0" fieldPosition="0">
        <references count="4">
          <reference field="4294967294" count="1" selected="0">
            <x v="0"/>
          </reference>
          <reference field="0" count="1" selected="0">
            <x v="14"/>
          </reference>
          <reference field="4" count="1" selected="0">
            <x v="0"/>
          </reference>
          <reference field="33" count="1" selected="0">
            <x v="0"/>
          </reference>
        </references>
      </pivotArea>
    </format>
    <format dxfId="455">
      <pivotArea outline="0" fieldPosition="0">
        <references count="4">
          <reference field="4294967294" count="1" selected="0">
            <x v="0"/>
          </reference>
          <reference field="0" count="1" selected="0">
            <x v="16"/>
          </reference>
          <reference field="4" count="1" selected="0">
            <x v="0"/>
          </reference>
          <reference field="33" count="1" selected="0">
            <x v="0"/>
          </reference>
        </references>
      </pivotArea>
    </format>
    <format dxfId="454">
      <pivotArea outline="0" fieldPosition="0">
        <references count="4">
          <reference field="4294967294" count="1" selected="0">
            <x v="25"/>
          </reference>
          <reference field="0" count="1" selected="0">
            <x v="8"/>
          </reference>
          <reference field="4" count="1" selected="0">
            <x v="12"/>
          </reference>
          <reference field="33" count="1" selected="0">
            <x v="0"/>
          </reference>
        </references>
      </pivotArea>
    </format>
    <format dxfId="453">
      <pivotArea outline="0" fieldPosition="0">
        <references count="4">
          <reference field="4294967294" count="1" selected="0">
            <x v="25"/>
          </reference>
          <reference field="0" count="1" selected="0">
            <x v="12"/>
          </reference>
          <reference field="4" count="1" selected="0">
            <x v="6"/>
          </reference>
          <reference field="33" count="1" selected="0">
            <x v="1"/>
          </reference>
        </references>
      </pivotArea>
    </format>
    <format dxfId="452">
      <pivotArea outline="0" fieldPosition="0">
        <references count="4">
          <reference field="4294967294" count="1" selected="0">
            <x v="25"/>
          </reference>
          <reference field="0" count="1" selected="0">
            <x v="16"/>
          </reference>
          <reference field="4" count="1" selected="0">
            <x v="8"/>
          </reference>
          <reference field="33" count="1" selected="0">
            <x v="1"/>
          </reference>
        </references>
      </pivotArea>
    </format>
    <format dxfId="451">
      <pivotArea outline="0" fieldPosition="0">
        <references count="2">
          <reference field="4294967294" count="36" selected="0">
            <x v="0"/>
            <x v="1"/>
            <x v="2"/>
            <x v="3"/>
            <x v="4"/>
            <x v="5"/>
            <x v="6"/>
            <x v="7"/>
            <x v="8"/>
            <x v="9"/>
            <x v="10"/>
            <x v="11"/>
            <x v="12"/>
            <x v="13"/>
            <x v="14"/>
            <x v="15"/>
            <x v="16"/>
            <x v="17"/>
            <x v="18"/>
            <x v="19"/>
            <x v="20"/>
            <x v="21"/>
            <x v="22"/>
            <x v="23"/>
            <x v="24"/>
            <x v="25"/>
            <x v="26"/>
            <x v="27"/>
            <x v="28"/>
            <x v="29"/>
            <x v="30"/>
            <x v="31"/>
            <x v="32"/>
            <x v="33"/>
            <x v="34"/>
            <x v="35"/>
          </reference>
          <reference field="0" count="1" selected="0">
            <x v="0"/>
          </reference>
        </references>
      </pivotArea>
    </format>
    <format dxfId="450">
      <pivotArea outline="0" fieldPosition="0">
        <references count="4">
          <reference field="4294967294" count="2" selected="0">
            <x v="6"/>
            <x v="7"/>
          </reference>
          <reference field="0" count="1" selected="0">
            <x v="0"/>
          </reference>
          <reference field="4" count="1" selected="0">
            <x v="5"/>
          </reference>
          <reference field="33" count="1" selected="0">
            <x v="0"/>
          </reference>
        </references>
      </pivotArea>
    </format>
    <format dxfId="449">
      <pivotArea outline="0" fieldPosition="0">
        <references count="4">
          <reference field="4294967294" count="2" selected="0">
            <x v="6"/>
            <x v="7"/>
          </reference>
          <reference field="0" count="1" selected="0">
            <x v="0"/>
          </reference>
          <reference field="4" count="1" selected="0">
            <x v="9"/>
          </reference>
          <reference field="33" count="1" selected="0">
            <x v="1"/>
          </reference>
        </references>
      </pivotArea>
    </format>
    <format dxfId="448">
      <pivotArea outline="0" fieldPosition="0">
        <references count="4">
          <reference field="4294967294" count="2" selected="0">
            <x v="18"/>
            <x v="19"/>
          </reference>
          <reference field="0" count="1" selected="0">
            <x v="0"/>
          </reference>
          <reference field="4" count="2" selected="0">
            <x v="3"/>
            <x v="4"/>
          </reference>
          <reference field="33" count="1" selected="0">
            <x v="0"/>
          </reference>
        </references>
      </pivotArea>
    </format>
    <format dxfId="447">
      <pivotArea outline="0" fieldPosition="0">
        <references count="4">
          <reference field="4294967294" count="2" selected="0">
            <x v="24"/>
            <x v="25"/>
          </reference>
          <reference field="0" count="1" selected="0">
            <x v="0"/>
          </reference>
          <reference field="4" count="5" selected="0">
            <x v="0"/>
            <x v="1"/>
            <x v="2"/>
            <x v="3"/>
            <x v="4"/>
          </reference>
          <reference field="33" count="1" selected="0">
            <x v="0"/>
          </reference>
        </references>
      </pivotArea>
    </format>
    <format dxfId="446">
      <pivotArea outline="0" fieldPosition="0">
        <references count="4">
          <reference field="4294967294" count="1" selected="0">
            <x v="0"/>
          </reference>
          <reference field="0" count="1" selected="0">
            <x v="3"/>
          </reference>
          <reference field="4" count="1" selected="0">
            <x v="0"/>
          </reference>
          <reference field="33" count="1" selected="0">
            <x v="0"/>
          </reference>
        </references>
      </pivotArea>
    </format>
    <format dxfId="445">
      <pivotArea outline="0" fieldPosition="0">
        <references count="4">
          <reference field="4294967294" count="1" selected="0">
            <x v="0"/>
          </reference>
          <reference field="0" count="1" selected="0">
            <x v="4"/>
          </reference>
          <reference field="4" count="1" selected="0">
            <x v="0"/>
          </reference>
          <reference field="33" count="1" selected="0">
            <x v="0"/>
          </reference>
        </references>
      </pivotArea>
    </format>
    <format dxfId="444">
      <pivotArea outline="0" fieldPosition="0">
        <references count="2">
          <reference field="4294967294" count="2" selected="0">
            <x v="0"/>
            <x v="1"/>
          </reference>
          <reference field="0" count="1" selected="0">
            <x v="0"/>
          </reference>
        </references>
      </pivotArea>
    </format>
    <format dxfId="443">
      <pivotArea outline="0" fieldPosition="0">
        <references count="2">
          <reference field="4294967294" count="2" selected="0">
            <x v="3"/>
            <x v="4"/>
          </reference>
          <reference field="0" count="1" selected="0">
            <x v="0"/>
          </reference>
        </references>
      </pivotArea>
    </format>
    <format dxfId="442">
      <pivotArea outline="0" fieldPosition="0">
        <references count="2">
          <reference field="4294967294" count="2" selected="0">
            <x v="6"/>
            <x v="7"/>
          </reference>
          <reference field="0" count="1" selected="0">
            <x v="0"/>
          </reference>
        </references>
      </pivotArea>
    </format>
    <format dxfId="441">
      <pivotArea outline="0" fieldPosition="0">
        <references count="2">
          <reference field="4294967294" count="2" selected="0">
            <x v="9"/>
            <x v="10"/>
          </reference>
          <reference field="0" count="1" selected="0">
            <x v="0"/>
          </reference>
        </references>
      </pivotArea>
    </format>
    <format dxfId="440">
      <pivotArea outline="0" fieldPosition="0">
        <references count="2">
          <reference field="4294967294" count="2" selected="0">
            <x v="12"/>
            <x v="13"/>
          </reference>
          <reference field="0" count="1" selected="0">
            <x v="0"/>
          </reference>
        </references>
      </pivotArea>
    </format>
    <format dxfId="439">
      <pivotArea outline="0" fieldPosition="0">
        <references count="2">
          <reference field="4294967294" count="2" selected="0">
            <x v="15"/>
            <x v="16"/>
          </reference>
          <reference field="0" count="1" selected="0">
            <x v="0"/>
          </reference>
        </references>
      </pivotArea>
    </format>
    <format dxfId="438">
      <pivotArea outline="0" fieldPosition="0">
        <references count="2">
          <reference field="4294967294" count="2" selected="0">
            <x v="18"/>
            <x v="19"/>
          </reference>
          <reference field="0" count="1" selected="0">
            <x v="0"/>
          </reference>
        </references>
      </pivotArea>
    </format>
    <format dxfId="437">
      <pivotArea outline="0" fieldPosition="0">
        <references count="2">
          <reference field="4294967294" count="3" selected="0">
            <x v="21"/>
            <x v="22"/>
            <x v="23"/>
          </reference>
          <reference field="0" count="1" selected="0">
            <x v="0"/>
          </reference>
        </references>
      </pivotArea>
    </format>
    <format dxfId="436">
      <pivotArea outline="0" fieldPosition="0">
        <references count="2">
          <reference field="4294967294" count="1" selected="0">
            <x v="23"/>
          </reference>
          <reference field="0" count="1" selected="0">
            <x v="0"/>
          </reference>
        </references>
      </pivotArea>
    </format>
    <format dxfId="435">
      <pivotArea outline="0" fieldPosition="0">
        <references count="2">
          <reference field="4294967294" count="2" selected="0">
            <x v="24"/>
            <x v="25"/>
          </reference>
          <reference field="0" count="1" selected="0">
            <x v="0"/>
          </reference>
        </references>
      </pivotArea>
    </format>
    <format dxfId="434">
      <pivotArea outline="0" fieldPosition="0">
        <references count="2">
          <reference field="4294967294" count="2" selected="0">
            <x v="27"/>
            <x v="28"/>
          </reference>
          <reference field="0" count="1" selected="0">
            <x v="0"/>
          </reference>
        </references>
      </pivotArea>
    </format>
    <format dxfId="433">
      <pivotArea outline="0" fieldPosition="0">
        <references count="2">
          <reference field="4294967294" count="2" selected="0">
            <x v="30"/>
            <x v="31"/>
          </reference>
          <reference field="0" count="1" selected="0">
            <x v="0"/>
          </reference>
        </references>
      </pivotArea>
    </format>
    <format dxfId="432">
      <pivotArea outline="0" fieldPosition="0">
        <references count="2">
          <reference field="4294967294" count="2" selected="0">
            <x v="33"/>
            <x v="34"/>
          </reference>
          <reference field="0" count="1" selected="0">
            <x v="0"/>
          </reference>
        </references>
      </pivotArea>
    </format>
    <format dxfId="431">
      <pivotArea outline="0" fieldPosition="0">
        <references count="4">
          <reference field="4294967294" count="1" selected="0">
            <x v="9"/>
          </reference>
          <reference field="0" count="1" selected="0">
            <x v="0"/>
          </reference>
          <reference field="4" count="1" selected="0">
            <x v="0"/>
          </reference>
          <reference field="33" count="1" selected="0">
            <x v="0"/>
          </reference>
        </references>
      </pivotArea>
    </format>
    <format dxfId="430">
      <pivotArea outline="0" fieldPosition="0">
        <references count="2">
          <reference field="0" count="0" selected="0"/>
          <reference field="33" count="1" selected="0" defaultSubtotal="1">
            <x v="2"/>
          </reference>
        </references>
      </pivotArea>
    </format>
    <format dxfId="429">
      <pivotArea type="topRight" dataOnly="0" labelOnly="1" outline="0" offset="O1" fieldPosition="0"/>
    </format>
    <format dxfId="428">
      <pivotArea dataOnly="0" labelOnly="1" outline="0" fieldPosition="0">
        <references count="1">
          <reference field="33" count="1" defaultSubtotal="1">
            <x v="2"/>
          </reference>
        </references>
      </pivotArea>
    </format>
    <format dxfId="427">
      <pivotArea outline="0" fieldPosition="0">
        <references count="4">
          <reference field="4294967294" count="1" selected="0">
            <x v="0"/>
          </reference>
          <reference field="0" count="1" selected="0">
            <x v="10"/>
          </reference>
          <reference field="4" count="1" selected="0">
            <x v="1"/>
          </reference>
          <reference field="33" count="1" selected="0">
            <x v="0"/>
          </reference>
        </references>
      </pivotArea>
    </format>
    <format dxfId="426">
      <pivotArea outline="0" fieldPosition="0">
        <references count="2">
          <reference field="4294967294" count="1" selected="0">
            <x v="35"/>
          </reference>
          <reference field="0" count="1" selected="0">
            <x v="0"/>
          </reference>
        </references>
      </pivotArea>
    </format>
    <format dxfId="425">
      <pivotArea dataOnly="0" labelOnly="1" outline="0" offset="IV256" fieldPosition="0">
        <references count="1">
          <reference field="0" count="1">
            <x v="0"/>
          </reference>
        </references>
      </pivotArea>
    </format>
    <format dxfId="424">
      <pivotArea dataOnly="0" labelOnly="1" outline="0" fieldPosition="0">
        <references count="2">
          <reference field="4294967294" count="1">
            <x v="35"/>
          </reference>
          <reference field="0" count="1" selected="0">
            <x v="0"/>
          </reference>
        </references>
      </pivotArea>
    </format>
    <format dxfId="423">
      <pivotArea outline="0" fieldPosition="0">
        <references count="2">
          <reference field="4294967294" count="1" selected="0">
            <x v="35"/>
          </reference>
          <reference field="0" count="1" selected="0">
            <x v="1"/>
          </reference>
        </references>
      </pivotArea>
    </format>
    <format dxfId="422">
      <pivotArea dataOnly="0" labelOnly="1" outline="0" offset="IV256" fieldPosition="0">
        <references count="1">
          <reference field="0" count="1">
            <x v="1"/>
          </reference>
        </references>
      </pivotArea>
    </format>
    <format dxfId="421">
      <pivotArea dataOnly="0" labelOnly="1" outline="0" fieldPosition="0">
        <references count="2">
          <reference field="4294967294" count="1">
            <x v="35"/>
          </reference>
          <reference field="0" count="1" selected="0">
            <x v="1"/>
          </reference>
        </references>
      </pivotArea>
    </format>
    <format dxfId="420">
      <pivotArea outline="0" fieldPosition="0">
        <references count="2">
          <reference field="4294967294" count="1" selected="0">
            <x v="35"/>
          </reference>
          <reference field="0" count="1" selected="0">
            <x v="3"/>
          </reference>
        </references>
      </pivotArea>
    </format>
    <format dxfId="419">
      <pivotArea dataOnly="0" labelOnly="1" outline="0" offset="IV256" fieldPosition="0">
        <references count="1">
          <reference field="0" count="1">
            <x v="3"/>
          </reference>
        </references>
      </pivotArea>
    </format>
    <format dxfId="418">
      <pivotArea dataOnly="0" labelOnly="1" outline="0" fieldPosition="0">
        <references count="2">
          <reference field="4294967294" count="1">
            <x v="35"/>
          </reference>
          <reference field="0" count="1" selected="0">
            <x v="3"/>
          </reference>
        </references>
      </pivotArea>
    </format>
    <format dxfId="417">
      <pivotArea outline="0" fieldPosition="0">
        <references count="2">
          <reference field="4294967294" count="1" selected="0">
            <x v="35"/>
          </reference>
          <reference field="0" count="1" selected="0">
            <x v="4"/>
          </reference>
        </references>
      </pivotArea>
    </format>
    <format dxfId="416">
      <pivotArea dataOnly="0" labelOnly="1" outline="0" offset="IV256" fieldPosition="0">
        <references count="1">
          <reference field="0" count="1">
            <x v="4"/>
          </reference>
        </references>
      </pivotArea>
    </format>
    <format dxfId="415">
      <pivotArea dataOnly="0" labelOnly="1" outline="0" fieldPosition="0">
        <references count="2">
          <reference field="4294967294" count="1">
            <x v="35"/>
          </reference>
          <reference field="0" count="1" selected="0">
            <x v="4"/>
          </reference>
        </references>
      </pivotArea>
    </format>
    <format dxfId="414">
      <pivotArea outline="0" fieldPosition="0">
        <references count="2">
          <reference field="4294967294" count="1" selected="0">
            <x v="35"/>
          </reference>
          <reference field="0" count="1" selected="0">
            <x v="6"/>
          </reference>
        </references>
      </pivotArea>
    </format>
    <format dxfId="413">
      <pivotArea dataOnly="0" labelOnly="1" outline="0" offset="IV256" fieldPosition="0">
        <references count="1">
          <reference field="0" count="1">
            <x v="6"/>
          </reference>
        </references>
      </pivotArea>
    </format>
    <format dxfId="412">
      <pivotArea dataOnly="0" labelOnly="1" outline="0" fieldPosition="0">
        <references count="2">
          <reference field="4294967294" count="1">
            <x v="35"/>
          </reference>
          <reference field="0" count="1" selected="0">
            <x v="6"/>
          </reference>
        </references>
      </pivotArea>
    </format>
    <format dxfId="411">
      <pivotArea type="origin" dataOnly="0" labelOnly="1" outline="0" offset="A2:B2" fieldPosition="0"/>
    </format>
    <format dxfId="410">
      <pivotArea dataOnly="0" labelOnly="1" outline="0" fieldPosition="0">
        <references count="1">
          <reference field="33" count="1">
            <x v="0"/>
          </reference>
        </references>
      </pivotArea>
    </format>
    <format dxfId="409">
      <pivotArea dataOnly="0" labelOnly="1" outline="0" offset="IV1" fieldPosition="0">
        <references count="1">
          <reference field="33" count="1" defaultSubtotal="1">
            <x v="0"/>
          </reference>
        </references>
      </pivotArea>
    </format>
    <format dxfId="408">
      <pivotArea dataOnly="0" labelOnly="1" outline="0" fieldPosition="0">
        <references count="1">
          <reference field="33" count="1">
            <x v="1"/>
          </reference>
        </references>
      </pivotArea>
    </format>
    <format dxfId="407">
      <pivotArea dataOnly="0" labelOnly="1" outline="0" offset="IV1" fieldPosition="0">
        <references count="1">
          <reference field="33" count="1" defaultSubtotal="1">
            <x v="1"/>
          </reference>
        </references>
      </pivotArea>
    </format>
    <format dxfId="406">
      <pivotArea dataOnly="0" labelOnly="1" outline="0" fieldPosition="0">
        <references count="1">
          <reference field="33" count="1">
            <x v="2"/>
          </reference>
        </references>
      </pivotArea>
    </format>
    <format dxfId="405">
      <pivotArea dataOnly="0" labelOnly="1" outline="0" offset="IV1" fieldPosition="0">
        <references count="1">
          <reference field="33" count="1" defaultSubtotal="1">
            <x v="2"/>
          </reference>
        </references>
      </pivotArea>
    </format>
    <format dxfId="404">
      <pivotArea outline="0" fieldPosition="0">
        <references count="2">
          <reference field="4294967294" count="1" selected="0">
            <x v="2"/>
          </reference>
          <reference field="0" count="1" selected="0">
            <x v="8"/>
          </reference>
        </references>
      </pivotArea>
    </format>
    <format dxfId="403">
      <pivotArea outline="0" fieldPosition="0">
        <references count="2">
          <reference field="4294967294" count="1" selected="0">
            <x v="5"/>
          </reference>
          <reference field="0" count="1" selected="0">
            <x v="8"/>
          </reference>
        </references>
      </pivotArea>
    </format>
    <format dxfId="402">
      <pivotArea outline="0" fieldPosition="0">
        <references count="2">
          <reference field="4294967294" count="1" selected="0">
            <x v="8"/>
          </reference>
          <reference field="0" count="1" selected="0">
            <x v="8"/>
          </reference>
        </references>
      </pivotArea>
    </format>
    <format dxfId="401">
      <pivotArea outline="0" fieldPosition="0">
        <references count="2">
          <reference field="4294967294" count="1" selected="0">
            <x v="11"/>
          </reference>
          <reference field="0" count="1" selected="0">
            <x v="8"/>
          </reference>
        </references>
      </pivotArea>
    </format>
    <format dxfId="400">
      <pivotArea outline="0" fieldPosition="0">
        <references count="2">
          <reference field="4294967294" count="1" selected="0">
            <x v="14"/>
          </reference>
          <reference field="0" count="1" selected="0">
            <x v="8"/>
          </reference>
        </references>
      </pivotArea>
    </format>
    <format dxfId="399">
      <pivotArea outline="0" fieldPosition="0">
        <references count="2">
          <reference field="4294967294" count="1" selected="0">
            <x v="17"/>
          </reference>
          <reference field="0" count="1" selected="0">
            <x v="8"/>
          </reference>
        </references>
      </pivotArea>
    </format>
    <format dxfId="398">
      <pivotArea outline="0" fieldPosition="0">
        <references count="2">
          <reference field="4294967294" count="1" selected="0">
            <x v="20"/>
          </reference>
          <reference field="0" count="1" selected="0">
            <x v="8"/>
          </reference>
        </references>
      </pivotArea>
    </format>
    <format dxfId="397">
      <pivotArea outline="0" fieldPosition="0">
        <references count="2">
          <reference field="4294967294" count="1" selected="0">
            <x v="23"/>
          </reference>
          <reference field="0" count="1" selected="0">
            <x v="8"/>
          </reference>
        </references>
      </pivotArea>
    </format>
    <format dxfId="396">
      <pivotArea outline="0" fieldPosition="0">
        <references count="2">
          <reference field="4294967294" count="1" selected="0">
            <x v="26"/>
          </reference>
          <reference field="0" count="1" selected="0">
            <x v="8"/>
          </reference>
        </references>
      </pivotArea>
    </format>
    <format dxfId="395">
      <pivotArea outline="0" fieldPosition="0">
        <references count="2">
          <reference field="4294967294" count="1" selected="0">
            <x v="29"/>
          </reference>
          <reference field="0" count="1" selected="0">
            <x v="8"/>
          </reference>
        </references>
      </pivotArea>
    </format>
    <format dxfId="394">
      <pivotArea outline="0" fieldPosition="0">
        <references count="2">
          <reference field="4294967294" count="1" selected="0">
            <x v="32"/>
          </reference>
          <reference field="0" count="1" selected="0">
            <x v="8"/>
          </reference>
        </references>
      </pivotArea>
    </format>
    <format dxfId="393">
      <pivotArea outline="0" fieldPosition="0">
        <references count="2">
          <reference field="4294967294" count="1" selected="0">
            <x v="35"/>
          </reference>
          <reference field="0" count="1" selected="0">
            <x v="8"/>
          </reference>
        </references>
      </pivotArea>
    </format>
    <format dxfId="392">
      <pivotArea dataOnly="0" labelOnly="1" outline="0" fieldPosition="0">
        <references count="2">
          <reference field="4294967294" count="1">
            <x v="35"/>
          </reference>
          <reference field="0" count="1" selected="0">
            <x v="8"/>
          </reference>
        </references>
      </pivotArea>
    </format>
    <format dxfId="391">
      <pivotArea outline="0" fieldPosition="0">
        <references count="2">
          <reference field="4294967294" count="1" selected="0">
            <x v="2"/>
          </reference>
          <reference field="0" count="1" selected="0">
            <x v="1"/>
          </reference>
        </references>
      </pivotArea>
    </format>
    <format dxfId="390">
      <pivotArea outline="0" fieldPosition="0">
        <references count="1">
          <reference field="4294967294" count="1">
            <x v="2"/>
          </reference>
        </references>
      </pivotArea>
    </format>
    <format dxfId="389">
      <pivotArea outline="0" fieldPosition="0">
        <references count="4">
          <reference field="4294967294" count="1" selected="0">
            <x v="17"/>
          </reference>
          <reference field="0" count="1" selected="0">
            <x v="1"/>
          </reference>
          <reference field="4" count="1" selected="0">
            <x v="0"/>
          </reference>
          <reference field="33" count="1" selected="0">
            <x v="0"/>
          </reference>
        </references>
      </pivotArea>
    </format>
    <format dxfId="388">
      <pivotArea outline="0" fieldPosition="0">
        <references count="4">
          <reference field="4294967294" count="1" selected="0">
            <x v="20"/>
          </reference>
          <reference field="0" count="1" selected="0">
            <x v="1"/>
          </reference>
          <reference field="4" count="1" selected="0">
            <x v="0"/>
          </reference>
          <reference field="33" count="1" selected="0">
            <x v="0"/>
          </reference>
        </references>
      </pivotArea>
    </format>
    <format dxfId="387">
      <pivotArea outline="0" fieldPosition="0">
        <references count="4">
          <reference field="4294967294" count="1" selected="0">
            <x v="23"/>
          </reference>
          <reference field="0" count="1" selected="0">
            <x v="1"/>
          </reference>
          <reference field="4" count="1" selected="0">
            <x v="0"/>
          </reference>
          <reference field="33" count="1" selected="0">
            <x v="0"/>
          </reference>
        </references>
      </pivotArea>
    </format>
    <format dxfId="386">
      <pivotArea outline="0" fieldPosition="0">
        <references count="4">
          <reference field="4294967294" count="1" selected="0">
            <x v="26"/>
          </reference>
          <reference field="0" count="1" selected="0">
            <x v="1"/>
          </reference>
          <reference field="4" count="1" selected="0">
            <x v="0"/>
          </reference>
          <reference field="33" count="1" selected="0">
            <x v="0"/>
          </reference>
        </references>
      </pivotArea>
    </format>
    <format dxfId="385">
      <pivotArea outline="0" fieldPosition="0">
        <references count="4">
          <reference field="4294967294" count="1" selected="0">
            <x v="29"/>
          </reference>
          <reference field="0" count="1" selected="0">
            <x v="1"/>
          </reference>
          <reference field="4" count="1" selected="0">
            <x v="0"/>
          </reference>
          <reference field="33" count="1" selected="0">
            <x v="0"/>
          </reference>
        </references>
      </pivotArea>
    </format>
    <format dxfId="384">
      <pivotArea outline="0" fieldPosition="0">
        <references count="4">
          <reference field="4294967294" count="1" selected="0">
            <x v="32"/>
          </reference>
          <reference field="0" count="1" selected="0">
            <x v="1"/>
          </reference>
          <reference field="4" count="1" selected="0">
            <x v="0"/>
          </reference>
          <reference field="33" count="1" selected="0">
            <x v="0"/>
          </reference>
        </references>
      </pivotArea>
    </format>
    <format dxfId="383">
      <pivotArea outline="0" fieldPosition="0">
        <references count="4">
          <reference field="4294967294" count="1" selected="0">
            <x v="35"/>
          </reference>
          <reference field="0" count="1" selected="0">
            <x v="1"/>
          </reference>
          <reference field="4" count="1" selected="0">
            <x v="0"/>
          </reference>
          <reference field="33" count="1" selected="0">
            <x v="0"/>
          </reference>
        </references>
      </pivotArea>
    </format>
    <format dxfId="382">
      <pivotArea outline="0" fieldPosition="0">
        <references count="2">
          <reference field="4294967294" count="2" selected="0">
            <x v="0"/>
            <x v="1"/>
          </reference>
          <reference field="0" count="1" selected="0">
            <x v="1"/>
          </reference>
        </references>
      </pivotArea>
    </format>
    <format dxfId="381">
      <pivotArea outline="0" fieldPosition="0">
        <references count="2">
          <reference field="4294967294" count="1" selected="0">
            <x v="32"/>
          </reference>
          <reference field="0" count="1" selected="0">
            <x v="1"/>
          </reference>
        </references>
      </pivotArea>
    </format>
    <format dxfId="380">
      <pivotArea dataOnly="0" labelOnly="1" outline="0" fieldPosition="0">
        <references count="1">
          <reference field="0" count="1">
            <x v="8"/>
          </reference>
        </references>
      </pivotArea>
    </format>
    <format dxfId="379">
      <pivotArea field="0" dataOnly="0" labelOnly="1" grandRow="1" outline="0" axis="axisRow" fieldPosition="0">
        <references count="1">
          <reference field="4294967294" count="1" selected="0">
            <x v="0"/>
          </reference>
        </references>
      </pivotArea>
    </format>
    <format dxfId="378">
      <pivotArea field="0" dataOnly="0" labelOnly="1" grandRow="1" outline="0" axis="axisRow" fieldPosition="0">
        <references count="1">
          <reference field="4294967294" count="1" selected="0">
            <x v="1"/>
          </reference>
        </references>
      </pivotArea>
    </format>
    <format dxfId="377">
      <pivotArea field="0" dataOnly="0" labelOnly="1" grandRow="1" outline="0" axis="axisRow" fieldPosition="0">
        <references count="1">
          <reference field="4294967294" count="1" selected="0">
            <x v="2"/>
          </reference>
        </references>
      </pivotArea>
    </format>
    <format dxfId="376">
      <pivotArea field="0" dataOnly="0" labelOnly="1" grandRow="1" outline="0" axis="axisRow" fieldPosition="0">
        <references count="1">
          <reference field="4294967294" count="1" selected="0">
            <x v="3"/>
          </reference>
        </references>
      </pivotArea>
    </format>
    <format dxfId="375">
      <pivotArea field="0" dataOnly="0" labelOnly="1" grandRow="1" outline="0" axis="axisRow" fieldPosition="0">
        <references count="1">
          <reference field="4294967294" count="1" selected="0">
            <x v="4"/>
          </reference>
        </references>
      </pivotArea>
    </format>
    <format dxfId="374">
      <pivotArea field="0" dataOnly="0" labelOnly="1" grandRow="1" outline="0" axis="axisRow" fieldPosition="0">
        <references count="1">
          <reference field="4294967294" count="1" selected="0">
            <x v="5"/>
          </reference>
        </references>
      </pivotArea>
    </format>
    <format dxfId="373">
      <pivotArea field="0" dataOnly="0" labelOnly="1" grandRow="1" outline="0" axis="axisRow" fieldPosition="0">
        <references count="1">
          <reference field="4294967294" count="1" selected="0">
            <x v="6"/>
          </reference>
        </references>
      </pivotArea>
    </format>
    <format dxfId="372">
      <pivotArea field="0" dataOnly="0" labelOnly="1" grandRow="1" outline="0" axis="axisRow" fieldPosition="0">
        <references count="1">
          <reference field="4294967294" count="1" selected="0">
            <x v="7"/>
          </reference>
        </references>
      </pivotArea>
    </format>
    <format dxfId="371">
      <pivotArea field="0" dataOnly="0" labelOnly="1" grandRow="1" outline="0" axis="axisRow" fieldPosition="0">
        <references count="1">
          <reference field="4294967294" count="1" selected="0">
            <x v="8"/>
          </reference>
        </references>
      </pivotArea>
    </format>
    <format dxfId="370">
      <pivotArea field="0" dataOnly="0" labelOnly="1" grandRow="1" outline="0" axis="axisRow" fieldPosition="0">
        <references count="1">
          <reference field="4294967294" count="1" selected="0">
            <x v="9"/>
          </reference>
        </references>
      </pivotArea>
    </format>
    <format dxfId="369">
      <pivotArea field="0" dataOnly="0" labelOnly="1" grandRow="1" outline="0" axis="axisRow" fieldPosition="0">
        <references count="1">
          <reference field="4294967294" count="1" selected="0">
            <x v="10"/>
          </reference>
        </references>
      </pivotArea>
    </format>
    <format dxfId="368">
      <pivotArea field="0" dataOnly="0" labelOnly="1" grandRow="1" outline="0" axis="axisRow" fieldPosition="0">
        <references count="1">
          <reference field="4294967294" count="1" selected="0">
            <x v="11"/>
          </reference>
        </references>
      </pivotArea>
    </format>
    <format dxfId="367">
      <pivotArea field="0" dataOnly="0" labelOnly="1" grandRow="1" outline="0" axis="axisRow" fieldPosition="0">
        <references count="1">
          <reference field="4294967294" count="1" selected="0">
            <x v="12"/>
          </reference>
        </references>
      </pivotArea>
    </format>
    <format dxfId="366">
      <pivotArea field="0" dataOnly="0" labelOnly="1" grandRow="1" outline="0" axis="axisRow" fieldPosition="0">
        <references count="1">
          <reference field="4294967294" count="1" selected="0">
            <x v="13"/>
          </reference>
        </references>
      </pivotArea>
    </format>
    <format dxfId="365">
      <pivotArea field="0" dataOnly="0" labelOnly="1" grandRow="1" outline="0" axis="axisRow" fieldPosition="0">
        <references count="1">
          <reference field="4294967294" count="1" selected="0">
            <x v="14"/>
          </reference>
        </references>
      </pivotArea>
    </format>
    <format dxfId="364">
      <pivotArea field="0" dataOnly="0" labelOnly="1" grandRow="1" outline="0" axis="axisRow" fieldPosition="0">
        <references count="1">
          <reference field="4294967294" count="1" selected="0">
            <x v="15"/>
          </reference>
        </references>
      </pivotArea>
    </format>
    <format dxfId="363">
      <pivotArea field="0" dataOnly="0" labelOnly="1" grandRow="1" outline="0" axis="axisRow" fieldPosition="0">
        <references count="1">
          <reference field="4294967294" count="1" selected="0">
            <x v="16"/>
          </reference>
        </references>
      </pivotArea>
    </format>
    <format dxfId="362">
      <pivotArea field="0" dataOnly="0" labelOnly="1" grandRow="1" outline="0" axis="axisRow" fieldPosition="0">
        <references count="1">
          <reference field="4294967294" count="1" selected="0">
            <x v="17"/>
          </reference>
        </references>
      </pivotArea>
    </format>
    <format dxfId="361">
      <pivotArea field="0" dataOnly="0" labelOnly="1" grandRow="1" outline="0" axis="axisRow" fieldPosition="0">
        <references count="1">
          <reference field="4294967294" count="1" selected="0">
            <x v="18"/>
          </reference>
        </references>
      </pivotArea>
    </format>
    <format dxfId="360">
      <pivotArea field="0" dataOnly="0" labelOnly="1" grandRow="1" outline="0" axis="axisRow" fieldPosition="0">
        <references count="1">
          <reference field="4294967294" count="1" selected="0">
            <x v="19"/>
          </reference>
        </references>
      </pivotArea>
    </format>
    <format dxfId="359">
      <pivotArea field="0" dataOnly="0" labelOnly="1" grandRow="1" outline="0" axis="axisRow" fieldPosition="0">
        <references count="1">
          <reference field="4294967294" count="1" selected="0">
            <x v="20"/>
          </reference>
        </references>
      </pivotArea>
    </format>
    <format dxfId="358">
      <pivotArea field="0" dataOnly="0" labelOnly="1" grandRow="1" outline="0" axis="axisRow" fieldPosition="0">
        <references count="1">
          <reference field="4294967294" count="1" selected="0">
            <x v="21"/>
          </reference>
        </references>
      </pivotArea>
    </format>
    <format dxfId="357">
      <pivotArea field="0" dataOnly="0" labelOnly="1" grandRow="1" outline="0" axis="axisRow" fieldPosition="0">
        <references count="1">
          <reference field="4294967294" count="1" selected="0">
            <x v="22"/>
          </reference>
        </references>
      </pivotArea>
    </format>
    <format dxfId="356">
      <pivotArea field="0" dataOnly="0" labelOnly="1" grandRow="1" outline="0" axis="axisRow" fieldPosition="0">
        <references count="1">
          <reference field="4294967294" count="1" selected="0">
            <x v="23"/>
          </reference>
        </references>
      </pivotArea>
    </format>
    <format dxfId="355">
      <pivotArea field="0" dataOnly="0" labelOnly="1" grandRow="1" outline="0" axis="axisRow" fieldPosition="0">
        <references count="1">
          <reference field="4294967294" count="1" selected="0">
            <x v="24"/>
          </reference>
        </references>
      </pivotArea>
    </format>
    <format dxfId="354">
      <pivotArea field="0" dataOnly="0" labelOnly="1" grandRow="1" outline="0" axis="axisRow" fieldPosition="0">
        <references count="1">
          <reference field="4294967294" count="1" selected="0">
            <x v="25"/>
          </reference>
        </references>
      </pivotArea>
    </format>
    <format dxfId="353">
      <pivotArea field="0" dataOnly="0" labelOnly="1" grandRow="1" outline="0" axis="axisRow" fieldPosition="0">
        <references count="1">
          <reference field="4294967294" count="1" selected="0">
            <x v="26"/>
          </reference>
        </references>
      </pivotArea>
    </format>
    <format dxfId="352">
      <pivotArea field="0" dataOnly="0" labelOnly="1" grandRow="1" outline="0" axis="axisRow" fieldPosition="0">
        <references count="1">
          <reference field="4294967294" count="1" selected="0">
            <x v="27"/>
          </reference>
        </references>
      </pivotArea>
    </format>
    <format dxfId="351">
      <pivotArea field="0" dataOnly="0" labelOnly="1" grandRow="1" outline="0" axis="axisRow" fieldPosition="0">
        <references count="1">
          <reference field="4294967294" count="1" selected="0">
            <x v="28"/>
          </reference>
        </references>
      </pivotArea>
    </format>
    <format dxfId="350">
      <pivotArea field="0" dataOnly="0" labelOnly="1" grandRow="1" outline="0" axis="axisRow" fieldPosition="0">
        <references count="1">
          <reference field="4294967294" count="1" selected="0">
            <x v="29"/>
          </reference>
        </references>
      </pivotArea>
    </format>
    <format dxfId="349">
      <pivotArea field="0" dataOnly="0" labelOnly="1" grandRow="1" outline="0" axis="axisRow" fieldPosition="0">
        <references count="1">
          <reference field="4294967294" count="1" selected="0">
            <x v="30"/>
          </reference>
        </references>
      </pivotArea>
    </format>
    <format dxfId="348">
      <pivotArea field="0" dataOnly="0" labelOnly="1" grandRow="1" outline="0" axis="axisRow" fieldPosition="0">
        <references count="1">
          <reference field="4294967294" count="1" selected="0">
            <x v="31"/>
          </reference>
        </references>
      </pivotArea>
    </format>
    <format dxfId="347">
      <pivotArea field="0" dataOnly="0" labelOnly="1" grandRow="1" outline="0" axis="axisRow" fieldPosition="0">
        <references count="1">
          <reference field="4294967294" count="1" selected="0">
            <x v="32"/>
          </reference>
        </references>
      </pivotArea>
    </format>
    <format dxfId="346">
      <pivotArea field="0" dataOnly="0" labelOnly="1" grandRow="1" outline="0" axis="axisRow" fieldPosition="0">
        <references count="1">
          <reference field="4294967294" count="1" selected="0">
            <x v="33"/>
          </reference>
        </references>
      </pivotArea>
    </format>
    <format dxfId="345">
      <pivotArea field="0" dataOnly="0" labelOnly="1" grandRow="1" outline="0" axis="axisRow" fieldPosition="0">
        <references count="1">
          <reference field="4294967294" count="1" selected="0">
            <x v="34"/>
          </reference>
        </references>
      </pivotArea>
    </format>
    <format dxfId="344">
      <pivotArea field="0" dataOnly="0" labelOnly="1" grandRow="1" outline="0" axis="axisRow" fieldPosition="0">
        <references count="1">
          <reference field="4294967294" count="1" selected="0">
            <x v="35"/>
          </reference>
        </references>
      </pivotArea>
    </format>
    <format dxfId="343">
      <pivotArea field="0" grandRow="1" outline="0" axis="axisRow" fieldPosition="0">
        <references count="1">
          <reference field="4294967294" count="1" selected="0">
            <x v="35"/>
          </reference>
        </references>
      </pivotArea>
    </format>
    <format dxfId="342">
      <pivotArea field="0" dataOnly="0" labelOnly="1" grandRow="1" outline="0" offset="IV256" axis="axisRow" fieldPosition="0">
        <references count="1">
          <reference field="4294967294" count="1" selected="0">
            <x v="0"/>
          </reference>
        </references>
      </pivotArea>
    </format>
    <format dxfId="341">
      <pivotArea field="0" dataOnly="0" labelOnly="1" grandRow="1" outline="0" offset="IV256" axis="axisRow" fieldPosition="0">
        <references count="1">
          <reference field="4294967294" count="1" selected="0">
            <x v="1"/>
          </reference>
        </references>
      </pivotArea>
    </format>
    <format dxfId="340">
      <pivotArea field="0" dataOnly="0" labelOnly="1" grandRow="1" outline="0" offset="IV256" axis="axisRow" fieldPosition="0">
        <references count="1">
          <reference field="4294967294" count="1" selected="0">
            <x v="2"/>
          </reference>
        </references>
      </pivotArea>
    </format>
    <format dxfId="339">
      <pivotArea field="0" dataOnly="0" labelOnly="1" grandRow="1" outline="0" offset="IV256" axis="axisRow" fieldPosition="0">
        <references count="1">
          <reference field="4294967294" count="1" selected="0">
            <x v="3"/>
          </reference>
        </references>
      </pivotArea>
    </format>
    <format dxfId="338">
      <pivotArea field="0" dataOnly="0" labelOnly="1" grandRow="1" outline="0" offset="IV256" axis="axisRow" fieldPosition="0">
        <references count="1">
          <reference field="4294967294" count="1" selected="0">
            <x v="4"/>
          </reference>
        </references>
      </pivotArea>
    </format>
    <format dxfId="337">
      <pivotArea field="0" dataOnly="0" labelOnly="1" grandRow="1" outline="0" offset="IV256" axis="axisRow" fieldPosition="0">
        <references count="1">
          <reference field="4294967294" count="1" selected="0">
            <x v="5"/>
          </reference>
        </references>
      </pivotArea>
    </format>
    <format dxfId="336">
      <pivotArea field="0" dataOnly="0" labelOnly="1" grandRow="1" outline="0" offset="IV256" axis="axisRow" fieldPosition="0">
        <references count="1">
          <reference field="4294967294" count="1" selected="0">
            <x v="6"/>
          </reference>
        </references>
      </pivotArea>
    </format>
    <format dxfId="335">
      <pivotArea field="0" dataOnly="0" labelOnly="1" grandRow="1" outline="0" offset="IV256" axis="axisRow" fieldPosition="0">
        <references count="1">
          <reference field="4294967294" count="1" selected="0">
            <x v="7"/>
          </reference>
        </references>
      </pivotArea>
    </format>
    <format dxfId="334">
      <pivotArea field="0" dataOnly="0" labelOnly="1" grandRow="1" outline="0" offset="IV256" axis="axisRow" fieldPosition="0">
        <references count="1">
          <reference field="4294967294" count="1" selected="0">
            <x v="8"/>
          </reference>
        </references>
      </pivotArea>
    </format>
    <format dxfId="333">
      <pivotArea field="0" dataOnly="0" labelOnly="1" grandRow="1" outline="0" offset="IV256" axis="axisRow" fieldPosition="0">
        <references count="1">
          <reference field="4294967294" count="1" selected="0">
            <x v="9"/>
          </reference>
        </references>
      </pivotArea>
    </format>
    <format dxfId="332">
      <pivotArea field="0" dataOnly="0" labelOnly="1" grandRow="1" outline="0" offset="IV256" axis="axisRow" fieldPosition="0">
        <references count="1">
          <reference field="4294967294" count="1" selected="0">
            <x v="10"/>
          </reference>
        </references>
      </pivotArea>
    </format>
    <format dxfId="331">
      <pivotArea field="0" dataOnly="0" labelOnly="1" grandRow="1" outline="0" offset="IV256" axis="axisRow" fieldPosition="0">
        <references count="1">
          <reference field="4294967294" count="1" selected="0">
            <x v="11"/>
          </reference>
        </references>
      </pivotArea>
    </format>
    <format dxfId="330">
      <pivotArea field="0" dataOnly="0" labelOnly="1" grandRow="1" outline="0" offset="IV256" axis="axisRow" fieldPosition="0">
        <references count="1">
          <reference field="4294967294" count="1" selected="0">
            <x v="12"/>
          </reference>
        </references>
      </pivotArea>
    </format>
    <format dxfId="329">
      <pivotArea field="0" dataOnly="0" labelOnly="1" grandRow="1" outline="0" offset="IV256" axis="axisRow" fieldPosition="0">
        <references count="1">
          <reference field="4294967294" count="1" selected="0">
            <x v="13"/>
          </reference>
        </references>
      </pivotArea>
    </format>
    <format dxfId="328">
      <pivotArea field="0" dataOnly="0" labelOnly="1" grandRow="1" outline="0" offset="IV256" axis="axisRow" fieldPosition="0">
        <references count="1">
          <reference field="4294967294" count="1" selected="0">
            <x v="14"/>
          </reference>
        </references>
      </pivotArea>
    </format>
    <format dxfId="327">
      <pivotArea field="0" dataOnly="0" labelOnly="1" grandRow="1" outline="0" offset="IV256" axis="axisRow" fieldPosition="0">
        <references count="1">
          <reference field="4294967294" count="1" selected="0">
            <x v="15"/>
          </reference>
        </references>
      </pivotArea>
    </format>
    <format dxfId="326">
      <pivotArea field="0" dataOnly="0" labelOnly="1" grandRow="1" outline="0" offset="IV256" axis="axisRow" fieldPosition="0">
        <references count="1">
          <reference field="4294967294" count="1" selected="0">
            <x v="16"/>
          </reference>
        </references>
      </pivotArea>
    </format>
    <format dxfId="325">
      <pivotArea field="0" dataOnly="0" labelOnly="1" grandRow="1" outline="0" offset="IV256" axis="axisRow" fieldPosition="0">
        <references count="1">
          <reference field="4294967294" count="1" selected="0">
            <x v="17"/>
          </reference>
        </references>
      </pivotArea>
    </format>
    <format dxfId="324">
      <pivotArea field="0" dataOnly="0" labelOnly="1" grandRow="1" outline="0" offset="IV256" axis="axisRow" fieldPosition="0">
        <references count="1">
          <reference field="4294967294" count="1" selected="0">
            <x v="18"/>
          </reference>
        </references>
      </pivotArea>
    </format>
    <format dxfId="323">
      <pivotArea field="0" dataOnly="0" labelOnly="1" grandRow="1" outline="0" offset="IV256" axis="axisRow" fieldPosition="0">
        <references count="1">
          <reference field="4294967294" count="1" selected="0">
            <x v="19"/>
          </reference>
        </references>
      </pivotArea>
    </format>
    <format dxfId="322">
      <pivotArea field="0" dataOnly="0" labelOnly="1" grandRow="1" outline="0" offset="IV256" axis="axisRow" fieldPosition="0">
        <references count="1">
          <reference field="4294967294" count="1" selected="0">
            <x v="20"/>
          </reference>
        </references>
      </pivotArea>
    </format>
    <format dxfId="321">
      <pivotArea field="0" dataOnly="0" labelOnly="1" grandRow="1" outline="0" offset="IV256" axis="axisRow" fieldPosition="0">
        <references count="1">
          <reference field="4294967294" count="1" selected="0">
            <x v="21"/>
          </reference>
        </references>
      </pivotArea>
    </format>
    <format dxfId="320">
      <pivotArea field="0" dataOnly="0" labelOnly="1" grandRow="1" outline="0" offset="IV256" axis="axisRow" fieldPosition="0">
        <references count="1">
          <reference field="4294967294" count="1" selected="0">
            <x v="22"/>
          </reference>
        </references>
      </pivotArea>
    </format>
    <format dxfId="319">
      <pivotArea field="0" dataOnly="0" labelOnly="1" grandRow="1" outline="0" offset="IV256" axis="axisRow" fieldPosition="0">
        <references count="1">
          <reference field="4294967294" count="1" selected="0">
            <x v="23"/>
          </reference>
        </references>
      </pivotArea>
    </format>
    <format dxfId="318">
      <pivotArea field="0" dataOnly="0" labelOnly="1" grandRow="1" outline="0" offset="IV256" axis="axisRow" fieldPosition="0">
        <references count="1">
          <reference field="4294967294" count="1" selected="0">
            <x v="24"/>
          </reference>
        </references>
      </pivotArea>
    </format>
    <format dxfId="317">
      <pivotArea field="0" dataOnly="0" labelOnly="1" grandRow="1" outline="0" offset="IV256" axis="axisRow" fieldPosition="0">
        <references count="1">
          <reference field="4294967294" count="1" selected="0">
            <x v="25"/>
          </reference>
        </references>
      </pivotArea>
    </format>
    <format dxfId="316">
      <pivotArea field="0" dataOnly="0" labelOnly="1" grandRow="1" outline="0" offset="IV256" axis="axisRow" fieldPosition="0">
        <references count="1">
          <reference field="4294967294" count="1" selected="0">
            <x v="26"/>
          </reference>
        </references>
      </pivotArea>
    </format>
    <format dxfId="315">
      <pivotArea field="0" dataOnly="0" labelOnly="1" grandRow="1" outline="0" offset="IV256" axis="axisRow" fieldPosition="0">
        <references count="1">
          <reference field="4294967294" count="1" selected="0">
            <x v="27"/>
          </reference>
        </references>
      </pivotArea>
    </format>
    <format dxfId="314">
      <pivotArea field="0" dataOnly="0" labelOnly="1" grandRow="1" outline="0" offset="IV256" axis="axisRow" fieldPosition="0">
        <references count="1">
          <reference field="4294967294" count="1" selected="0">
            <x v="28"/>
          </reference>
        </references>
      </pivotArea>
    </format>
    <format dxfId="313">
      <pivotArea field="0" dataOnly="0" labelOnly="1" grandRow="1" outline="0" offset="IV256" axis="axisRow" fieldPosition="0">
        <references count="1">
          <reference field="4294967294" count="1" selected="0">
            <x v="29"/>
          </reference>
        </references>
      </pivotArea>
    </format>
    <format dxfId="312">
      <pivotArea field="0" dataOnly="0" labelOnly="1" grandRow="1" outline="0" offset="IV256" axis="axisRow" fieldPosition="0">
        <references count="1">
          <reference field="4294967294" count="1" selected="0">
            <x v="30"/>
          </reference>
        </references>
      </pivotArea>
    </format>
    <format dxfId="311">
      <pivotArea field="0" dataOnly="0" labelOnly="1" grandRow="1" outline="0" offset="IV256" axis="axisRow" fieldPosition="0">
        <references count="1">
          <reference field="4294967294" count="1" selected="0">
            <x v="31"/>
          </reference>
        </references>
      </pivotArea>
    </format>
    <format dxfId="310">
      <pivotArea field="0" dataOnly="0" labelOnly="1" grandRow="1" outline="0" offset="IV256" axis="axisRow" fieldPosition="0">
        <references count="1">
          <reference field="4294967294" count="1" selected="0">
            <x v="32"/>
          </reference>
        </references>
      </pivotArea>
    </format>
    <format dxfId="309">
      <pivotArea field="0" dataOnly="0" labelOnly="1" grandRow="1" outline="0" offset="IV256" axis="axisRow" fieldPosition="0">
        <references count="1">
          <reference field="4294967294" count="1" selected="0">
            <x v="33"/>
          </reference>
        </references>
      </pivotArea>
    </format>
    <format dxfId="308">
      <pivotArea field="0" dataOnly="0" labelOnly="1" grandRow="1" outline="0" offset="IV256" axis="axisRow" fieldPosition="0">
        <references count="1">
          <reference field="4294967294" count="1" selected="0">
            <x v="34"/>
          </reference>
        </references>
      </pivotArea>
    </format>
    <format dxfId="307">
      <pivotArea field="0" dataOnly="0" labelOnly="1" grandRow="1" outline="0" offset="IV256" axis="axisRow" fieldPosition="0">
        <references count="1">
          <reference field="4294967294" count="1" selected="0">
            <x v="35"/>
          </reference>
        </references>
      </pivotArea>
    </format>
    <format dxfId="306">
      <pivotArea outline="0" fieldPosition="0">
        <references count="4">
          <reference field="4294967294" count="1" selected="0">
            <x v="2"/>
          </reference>
          <reference field="0" count="1" selected="0">
            <x v="0"/>
          </reference>
          <reference field="4" count="1" selected="0">
            <x v="10"/>
          </reference>
          <reference field="33" count="1" selected="0">
            <x v="2"/>
          </reference>
        </references>
      </pivotArea>
    </format>
    <format dxfId="305">
      <pivotArea outline="0" fieldPosition="0">
        <references count="4">
          <reference field="4294967294" count="1" selected="0">
            <x v="2"/>
          </reference>
          <reference field="0" count="1" selected="0">
            <x v="0"/>
          </reference>
          <reference field="4" count="1" selected="0">
            <x v="10"/>
          </reference>
          <reference field="33" count="1" selected="0">
            <x v="2"/>
          </reference>
        </references>
      </pivotArea>
    </format>
    <format dxfId="304">
      <pivotArea outline="0" fieldPosition="0">
        <references count="4">
          <reference field="4294967294" count="1" selected="0">
            <x v="4"/>
          </reference>
          <reference field="0" count="1" selected="0">
            <x v="0"/>
          </reference>
          <reference field="4" count="1" selected="0">
            <x v="10"/>
          </reference>
          <reference field="33" count="1" selected="0">
            <x v="2"/>
          </reference>
        </references>
      </pivotArea>
    </format>
    <format dxfId="303">
      <pivotArea outline="0" fieldPosition="0">
        <references count="4">
          <reference field="4294967294" count="1" selected="0">
            <x v="4"/>
          </reference>
          <reference field="0" count="1" selected="0">
            <x v="0"/>
          </reference>
          <reference field="4" count="1" selected="0">
            <x v="10"/>
          </reference>
          <reference field="33" count="1" selected="0">
            <x v="2"/>
          </reference>
        </references>
      </pivotArea>
    </format>
    <format dxfId="302">
      <pivotArea outline="0" fieldPosition="0">
        <references count="4">
          <reference field="4294967294" count="1" selected="0">
            <x v="20"/>
          </reference>
          <reference field="0" count="1" selected="0">
            <x v="0"/>
          </reference>
          <reference field="4" count="1" selected="0">
            <x v="4"/>
          </reference>
          <reference field="33" count="1" selected="0">
            <x v="0"/>
          </reference>
        </references>
      </pivotArea>
    </format>
    <format dxfId="301">
      <pivotArea outline="0" fieldPosition="0">
        <references count="4">
          <reference field="4294967294" count="1" selected="0">
            <x v="26"/>
          </reference>
          <reference field="0" count="1" selected="0">
            <x v="0"/>
          </reference>
          <reference field="4" count="1" selected="0">
            <x v="4"/>
          </reference>
          <reference field="33" count="1" selected="0">
            <x v="0"/>
          </reference>
        </references>
      </pivotArea>
    </format>
    <format dxfId="300">
      <pivotArea outline="0" fieldPosition="0">
        <references count="4">
          <reference field="4294967294" count="1" selected="0">
            <x v="5"/>
          </reference>
          <reference field="0" count="1" selected="0">
            <x v="1"/>
          </reference>
          <reference field="4" count="1" selected="0">
            <x v="4"/>
          </reference>
          <reference field="33" count="1" selected="0">
            <x v="0"/>
          </reference>
        </references>
      </pivotArea>
    </format>
    <format dxfId="299">
      <pivotArea outline="0" fieldPosition="0">
        <references count="4">
          <reference field="4294967294" count="1" selected="0">
            <x v="5"/>
          </reference>
          <reference field="0" count="1" selected="0">
            <x v="1"/>
          </reference>
          <reference field="4" count="1" selected="0">
            <x v="7"/>
          </reference>
          <reference field="33" count="1" selected="0">
            <x v="1"/>
          </reference>
        </references>
      </pivotArea>
    </format>
    <format dxfId="298">
      <pivotArea outline="0" fieldPosition="0">
        <references count="4">
          <reference field="4294967294" count="1" selected="0">
            <x v="26"/>
          </reference>
          <reference field="0" count="1" selected="0">
            <x v="1"/>
          </reference>
          <reference field="4" count="1" selected="0">
            <x v="4"/>
          </reference>
          <reference field="33" count="1" selected="0">
            <x v="0"/>
          </reference>
        </references>
      </pivotArea>
    </format>
    <format dxfId="297">
      <pivotArea outline="0" fieldPosition="0">
        <references count="4">
          <reference field="4294967294" count="1" selected="0">
            <x v="29"/>
          </reference>
          <reference field="0" count="1" selected="0">
            <x v="1"/>
          </reference>
          <reference field="4" count="1" selected="0">
            <x v="4"/>
          </reference>
          <reference field="33" count="1" selected="0">
            <x v="0"/>
          </reference>
        </references>
      </pivotArea>
    </format>
    <format dxfId="296">
      <pivotArea outline="0" fieldPosition="0">
        <references count="4">
          <reference field="4294967294" count="1" selected="0">
            <x v="2"/>
          </reference>
          <reference field="0" count="1" selected="0">
            <x v="9"/>
          </reference>
          <reference field="4" count="1" selected="0">
            <x v="4"/>
          </reference>
          <reference field="33" count="1" selected="0">
            <x v="0"/>
          </reference>
        </references>
      </pivotArea>
    </format>
    <format dxfId="295">
      <pivotArea outline="0" fieldPosition="0">
        <references count="4">
          <reference field="4294967294" count="1" selected="0">
            <x v="8"/>
          </reference>
          <reference field="0" count="1" selected="0">
            <x v="9"/>
          </reference>
          <reference field="4" count="1" selected="0">
            <x v="4"/>
          </reference>
          <reference field="33" count="1" selected="0">
            <x v="0"/>
          </reference>
        </references>
      </pivotArea>
    </format>
    <format dxfId="294">
      <pivotArea outline="0" fieldPosition="0">
        <references count="4">
          <reference field="4294967294" count="1" selected="0">
            <x v="20"/>
          </reference>
          <reference field="0" count="1" selected="0">
            <x v="9"/>
          </reference>
          <reference field="4" count="1" selected="0">
            <x v="3"/>
          </reference>
          <reference field="33" count="1" selected="0">
            <x v="0"/>
          </reference>
        </references>
      </pivotArea>
    </format>
    <format dxfId="293">
      <pivotArea outline="0" fieldPosition="0">
        <references count="4">
          <reference field="4294967294" count="1" selected="0">
            <x v="26"/>
          </reference>
          <reference field="0" count="1" selected="0">
            <x v="9"/>
          </reference>
          <reference field="4" count="1" selected="0">
            <x v="3"/>
          </reference>
          <reference field="33" count="1" selected="0">
            <x v="0"/>
          </reference>
        </references>
      </pivotArea>
    </format>
    <format dxfId="292">
      <pivotArea outline="0" fieldPosition="0">
        <references count="4">
          <reference field="4294967294" count="1" selected="0">
            <x v="2"/>
          </reference>
          <reference field="0" count="1" selected="0">
            <x v="11"/>
          </reference>
          <reference field="4" count="1" selected="0">
            <x v="6"/>
          </reference>
          <reference field="33" count="1" selected="0">
            <x v="1"/>
          </reference>
        </references>
      </pivotArea>
    </format>
    <format dxfId="291">
      <pivotArea outline="0" fieldPosition="0">
        <references count="4">
          <reference field="4294967294" count="1" selected="0">
            <x v="2"/>
          </reference>
          <reference field="0" count="1" selected="0">
            <x v="11"/>
          </reference>
          <reference field="4" count="1" selected="0">
            <x v="9"/>
          </reference>
          <reference field="33" count="1" selected="0">
            <x v="1"/>
          </reference>
        </references>
      </pivotArea>
    </format>
    <format dxfId="290">
      <pivotArea outline="0" fieldPosition="0">
        <references count="4">
          <reference field="4294967294" count="1" selected="0">
            <x v="5"/>
          </reference>
          <reference field="0" count="1" selected="0">
            <x v="11"/>
          </reference>
          <reference field="4" count="1" selected="0">
            <x v="6"/>
          </reference>
          <reference field="33" count="1" selected="0">
            <x v="1"/>
          </reference>
        </references>
      </pivotArea>
    </format>
    <format dxfId="289">
      <pivotArea outline="0" fieldPosition="0">
        <references count="4">
          <reference field="4294967294" count="1" selected="0">
            <x v="5"/>
          </reference>
          <reference field="0" count="1" selected="0">
            <x v="11"/>
          </reference>
          <reference field="4" count="1" selected="0">
            <x v="9"/>
          </reference>
          <reference field="33" count="1" selected="0">
            <x v="1"/>
          </reference>
        </references>
      </pivotArea>
    </format>
    <format dxfId="288">
      <pivotArea outline="0" fieldPosition="0">
        <references count="4">
          <reference field="4294967294" count="1" selected="0">
            <x v="20"/>
          </reference>
          <reference field="0" count="1" selected="0">
            <x v="12"/>
          </reference>
          <reference field="4" count="1" selected="0">
            <x v="2"/>
          </reference>
          <reference field="33" count="1" selected="0">
            <x v="0"/>
          </reference>
        </references>
      </pivotArea>
    </format>
    <format dxfId="287">
      <pivotArea outline="0" fieldPosition="0">
        <references count="4">
          <reference field="4294967294" count="1" selected="0">
            <x v="23"/>
          </reference>
          <reference field="0" count="1" selected="0">
            <x v="12"/>
          </reference>
          <reference field="4" count="1" selected="0">
            <x v="2"/>
          </reference>
          <reference field="33" count="1" selected="0">
            <x v="0"/>
          </reference>
        </references>
      </pivotArea>
    </format>
    <format dxfId="286">
      <pivotArea outline="0" fieldPosition="0">
        <references count="4">
          <reference field="4294967294" count="1" selected="0">
            <x v="23"/>
          </reference>
          <reference field="0" count="1" selected="0">
            <x v="12"/>
          </reference>
          <reference field="4" count="1" selected="0">
            <x v="5"/>
          </reference>
          <reference field="33" count="1" selected="0">
            <x v="0"/>
          </reference>
        </references>
      </pivotArea>
    </format>
    <format dxfId="285">
      <pivotArea outline="0" fieldPosition="0">
        <references count="4">
          <reference field="4294967294" count="1" selected="0">
            <x v="26"/>
          </reference>
          <reference field="0" count="1" selected="0">
            <x v="12"/>
          </reference>
          <reference field="4" count="1" selected="0">
            <x v="5"/>
          </reference>
          <reference field="33" count="1" selected="0">
            <x v="0"/>
          </reference>
        </references>
      </pivotArea>
    </format>
    <format dxfId="284">
      <pivotArea outline="0" fieldPosition="0">
        <references count="4">
          <reference field="4294967294" count="1" selected="0">
            <x v="26"/>
          </reference>
          <reference field="0" count="1" selected="0">
            <x v="13"/>
          </reference>
          <reference field="4" count="1" selected="0">
            <x v="4"/>
          </reference>
          <reference field="33" count="1" selected="0">
            <x v="0"/>
          </reference>
        </references>
      </pivotArea>
    </format>
    <format dxfId="283">
      <pivotArea outline="0" fieldPosition="0">
        <references count="4">
          <reference field="4294967294" count="1" selected="0">
            <x v="29"/>
          </reference>
          <reference field="0" count="1" selected="0">
            <x v="13"/>
          </reference>
          <reference field="4" count="1" selected="0">
            <x v="4"/>
          </reference>
          <reference field="33" count="1" selected="0">
            <x v="0"/>
          </reference>
        </references>
      </pivotArea>
    </format>
    <format dxfId="282">
      <pivotArea outline="0" fieldPosition="0">
        <references count="4">
          <reference field="4294967294" count="1" selected="0">
            <x v="20"/>
          </reference>
          <reference field="0" count="1" selected="0">
            <x v="16"/>
          </reference>
          <reference field="4" count="1" selected="0">
            <x v="5"/>
          </reference>
          <reference field="33" count="1" selected="0">
            <x v="0"/>
          </reference>
        </references>
      </pivotArea>
    </format>
    <format dxfId="281">
      <pivotArea outline="0" fieldPosition="0">
        <references count="4">
          <reference field="4294967294" count="1" selected="0">
            <x v="23"/>
          </reference>
          <reference field="0" count="1" selected="0">
            <x v="16"/>
          </reference>
          <reference field="4" count="1" selected="0">
            <x v="5"/>
          </reference>
          <reference field="33" count="1" selected="0">
            <x v="0"/>
          </reference>
        </references>
      </pivotArea>
    </format>
    <format dxfId="280">
      <pivotArea outline="0" fieldPosition="0">
        <references count="2">
          <reference field="4294967294" count="1" selected="0">
            <x v="5"/>
          </reference>
          <reference field="0" count="1" selected="0">
            <x v="0"/>
          </reference>
        </references>
      </pivotArea>
    </format>
    <format dxfId="279">
      <pivotArea outline="0" fieldPosition="0">
        <references count="2">
          <reference field="4294967294" count="1" selected="0">
            <x v="8"/>
          </reference>
          <reference field="0" count="1" selected="0">
            <x v="0"/>
          </reference>
        </references>
      </pivotArea>
    </format>
    <format dxfId="278">
      <pivotArea outline="0" fieldPosition="0">
        <references count="4">
          <reference field="4294967294" count="1" selected="0">
            <x v="8"/>
          </reference>
          <reference field="0" count="1" selected="0">
            <x v="0"/>
          </reference>
          <reference field="4" count="1" selected="0">
            <x v="0"/>
          </reference>
          <reference field="33" count="1" selected="0">
            <x v="0"/>
          </reference>
        </references>
      </pivotArea>
    </format>
    <format dxfId="277">
      <pivotArea outline="0" fieldPosition="0">
        <references count="4">
          <reference field="4294967294" count="1" selected="0">
            <x v="2"/>
          </reference>
          <reference field="0" count="1" selected="0">
            <x v="1"/>
          </reference>
          <reference field="4" count="1" selected="0">
            <x v="0"/>
          </reference>
          <reference field="33" count="1" selected="0">
            <x v="0"/>
          </reference>
        </references>
      </pivotArea>
    </format>
    <format dxfId="276">
      <pivotArea outline="0" fieldPosition="0">
        <references count="4">
          <reference field="4294967294" count="1" selected="0">
            <x v="5"/>
          </reference>
          <reference field="0" count="1" selected="0">
            <x v="1"/>
          </reference>
          <reference field="4" count="1" selected="0">
            <x v="0"/>
          </reference>
          <reference field="33" count="1" selected="0">
            <x v="0"/>
          </reference>
        </references>
      </pivotArea>
    </format>
    <format dxfId="275">
      <pivotArea outline="0" fieldPosition="0">
        <references count="4">
          <reference field="4294967294" count="1" selected="0">
            <x v="8"/>
          </reference>
          <reference field="0" count="1" selected="0">
            <x v="1"/>
          </reference>
          <reference field="4" count="1" selected="0">
            <x v="0"/>
          </reference>
          <reference field="33" count="1" selected="0">
            <x v="0"/>
          </reference>
        </references>
      </pivotArea>
    </format>
    <format dxfId="274">
      <pivotArea outline="0" fieldPosition="0">
        <references count="4">
          <reference field="4294967294" count="1" selected="0">
            <x v="11"/>
          </reference>
          <reference field="0" count="1" selected="0">
            <x v="1"/>
          </reference>
          <reference field="4" count="1" selected="0">
            <x v="0"/>
          </reference>
          <reference field="33" count="1" selected="0">
            <x v="0"/>
          </reference>
        </references>
      </pivotArea>
    </format>
    <format dxfId="273">
      <pivotArea outline="0" fieldPosition="0">
        <references count="4">
          <reference field="4294967294" count="1" selected="0">
            <x v="14"/>
          </reference>
          <reference field="0" count="1" selected="0">
            <x v="1"/>
          </reference>
          <reference field="4" count="1" selected="0">
            <x v="0"/>
          </reference>
          <reference field="33" count="1" selected="0">
            <x v="0"/>
          </reference>
        </references>
      </pivotArea>
    </format>
    <format dxfId="272">
      <pivotArea type="all" dataOnly="0" outline="0" fieldPosition="0"/>
    </format>
    <format dxfId="271">
      <pivotArea outline="0" fieldPosition="0">
        <references count="4">
          <reference field="4294967294" count="5" selected="0">
            <x v="5"/>
            <x v="6"/>
            <x v="7"/>
            <x v="8"/>
            <x v="9"/>
          </reference>
          <reference field="0" count="1" selected="0">
            <x v="0"/>
          </reference>
          <reference field="4" count="6" selected="0">
            <x v="0"/>
            <x v="1"/>
            <x v="2"/>
            <x v="3"/>
            <x v="4"/>
            <x v="5"/>
          </reference>
          <reference field="33" count="1" selected="0">
            <x v="0"/>
          </reference>
        </references>
      </pivotArea>
    </format>
    <format dxfId="270">
      <pivotArea type="all" dataOnly="0" outline="0" fieldPosition="0"/>
    </format>
    <format dxfId="269">
      <pivotArea outline="0" fieldPosition="0">
        <references count="2">
          <reference field="4294967294" count="1" selected="0">
            <x v="2"/>
          </reference>
          <reference field="0" count="1" selected="0">
            <x v="0"/>
          </reference>
        </references>
      </pivotArea>
    </format>
    <format dxfId="268">
      <pivotArea outline="0" fieldPosition="0">
        <references count="2">
          <reference field="4294967294" count="3" selected="0">
            <x v="0"/>
            <x v="1"/>
            <x v="2"/>
          </reference>
          <reference field="0" count="1" selected="0">
            <x v="0"/>
          </reference>
        </references>
      </pivotArea>
    </format>
    <format dxfId="267">
      <pivotArea dataOnly="0" labelOnly="1" outline="0" fieldPosition="0">
        <references count="2">
          <reference field="4294967294" count="3">
            <x v="0"/>
            <x v="1"/>
            <x v="2"/>
          </reference>
          <reference field="0" count="1" selected="0">
            <x v="0"/>
          </reference>
        </references>
      </pivotArea>
    </format>
    <format dxfId="266">
      <pivotArea outline="0" fieldPosition="0">
        <references count="4">
          <reference field="4294967294" count="1" selected="0">
            <x v="2"/>
          </reference>
          <reference field="0" count="1" selected="0">
            <x v="0"/>
          </reference>
          <reference field="4" count="2" selected="0">
            <x v="8"/>
            <x v="9"/>
          </reference>
          <reference field="33" count="1" selected="0">
            <x v="1"/>
          </reference>
        </references>
      </pivotArea>
    </format>
    <format dxfId="265">
      <pivotArea outline="0" fieldPosition="0">
        <references count="3">
          <reference field="4294967294" count="1" selected="0">
            <x v="2"/>
          </reference>
          <reference field="0" count="1" selected="0">
            <x v="0"/>
          </reference>
          <reference field="33" count="1" selected="0" defaultSubtotal="1">
            <x v="1"/>
          </reference>
        </references>
      </pivotArea>
    </format>
    <format dxfId="264">
      <pivotArea outline="0" fieldPosition="0">
        <references count="3">
          <reference field="4294967294" count="1" selected="0">
            <x v="2"/>
          </reference>
          <reference field="0" count="1" selected="0">
            <x v="0"/>
          </reference>
          <reference field="33" count="1" selected="0" defaultSubtotal="1">
            <x v="2"/>
          </reference>
        </references>
      </pivotArea>
    </format>
    <format dxfId="263">
      <pivotArea outline="0" fieldPosition="0">
        <references count="4">
          <reference field="4294967294" count="1" selected="0">
            <x v="20"/>
          </reference>
          <reference field="0" count="1" selected="0">
            <x v="0"/>
          </reference>
          <reference field="4" count="1" selected="0">
            <x v="4"/>
          </reference>
          <reference field="33" count="1" selected="0">
            <x v="0"/>
          </reference>
        </references>
      </pivotArea>
    </format>
    <format dxfId="262">
      <pivotArea outline="0" fieldPosition="0">
        <references count="4">
          <reference field="4294967294" count="1" selected="0">
            <x v="26"/>
          </reference>
          <reference field="0" count="1" selected="0">
            <x v="0"/>
          </reference>
          <reference field="4" count="1" selected="0">
            <x v="4"/>
          </reference>
          <reference field="33" count="1" selected="0">
            <x v="0"/>
          </reference>
        </references>
      </pivotArea>
    </format>
    <format dxfId="261">
      <pivotArea outline="0" fieldPosition="0">
        <references count="4">
          <reference field="4294967294" count="3" selected="0">
            <x v="18"/>
            <x v="19"/>
            <x v="20"/>
          </reference>
          <reference field="0" count="1" selected="0">
            <x v="16"/>
          </reference>
          <reference field="4" count="1" selected="0">
            <x v="9"/>
          </reference>
          <reference field="33" count="1" selected="0">
            <x v="1"/>
          </reference>
        </references>
      </pivotArea>
    </format>
    <format dxfId="260">
      <pivotArea outline="0" fieldPosition="0">
        <references count="4">
          <reference field="4294967294" count="1" selected="0">
            <x v="2"/>
          </reference>
          <reference field="0" count="1" selected="0">
            <x v="0"/>
          </reference>
          <reference field="4" count="1" selected="0">
            <x v="2"/>
          </reference>
          <reference field="33" count="1" selected="0">
            <x v="0"/>
          </reference>
        </references>
      </pivotArea>
    </format>
    <format dxfId="259">
      <pivotArea outline="0" fieldPosition="0">
        <references count="4">
          <reference field="4294967294" count="1" selected="0">
            <x v="2"/>
          </reference>
          <reference field="0" count="1" selected="0">
            <x v="0"/>
          </reference>
          <reference field="4" count="1" selected="0">
            <x v="7"/>
          </reference>
          <reference field="33" count="1" selected="0">
            <x v="1"/>
          </reference>
        </references>
      </pivotArea>
    </format>
    <format dxfId="258">
      <pivotArea outline="0" fieldPosition="0">
        <references count="4">
          <reference field="4294967294" count="1" selected="0">
            <x v="2"/>
          </reference>
          <reference field="0" count="1" selected="0">
            <x v="0"/>
          </reference>
          <reference field="4" count="1" selected="0">
            <x v="11"/>
          </reference>
          <reference field="33" count="1" selected="0">
            <x v="2"/>
          </reference>
        </references>
      </pivotArea>
    </format>
    <format dxfId="257">
      <pivotArea outline="0" fieldPosition="0">
        <references count="4">
          <reference field="4294967294" count="1" selected="0">
            <x v="5"/>
          </reference>
          <reference field="0" count="1" selected="0">
            <x v="0"/>
          </reference>
          <reference field="4" count="1" selected="0">
            <x v="7"/>
          </reference>
          <reference field="33" count="1" selected="0">
            <x v="1"/>
          </reference>
        </references>
      </pivotArea>
    </format>
    <format dxfId="256">
      <pivotArea outline="0" fieldPosition="0">
        <references count="4">
          <reference field="4294967294" count="1" selected="0">
            <x v="8"/>
          </reference>
          <reference field="0" count="1" selected="0">
            <x v="0"/>
          </reference>
          <reference field="4" count="1" selected="0">
            <x v="2"/>
          </reference>
          <reference field="33" count="1" selected="0">
            <x v="0"/>
          </reference>
        </references>
      </pivotArea>
    </format>
    <format dxfId="255">
      <pivotArea outline="0" fieldPosition="0">
        <references count="4">
          <reference field="4294967294" count="1" selected="0">
            <x v="20"/>
          </reference>
          <reference field="0" count="1" selected="0">
            <x v="0"/>
          </reference>
          <reference field="4" count="2" selected="0">
            <x v="2"/>
            <x v="3"/>
          </reference>
          <reference field="33" count="1" selected="0">
            <x v="0"/>
          </reference>
        </references>
      </pivotArea>
    </format>
    <format dxfId="254">
      <pivotArea outline="0" fieldPosition="0">
        <references count="4">
          <reference field="4294967294" count="1" selected="0">
            <x v="23"/>
          </reference>
          <reference field="0" count="1" selected="0">
            <x v="0"/>
          </reference>
          <reference field="4" count="1" selected="0">
            <x v="3"/>
          </reference>
          <reference field="33" count="1" selected="0">
            <x v="0"/>
          </reference>
        </references>
      </pivotArea>
    </format>
    <format dxfId="253">
      <pivotArea outline="0" fieldPosition="0">
        <references count="4">
          <reference field="4294967294" count="1" selected="0">
            <x v="26"/>
          </reference>
          <reference field="0" count="1" selected="0">
            <x v="0"/>
          </reference>
          <reference field="4" count="2" selected="0">
            <x v="2"/>
            <x v="3"/>
          </reference>
          <reference field="33" count="1" selected="0">
            <x v="0"/>
          </reference>
        </references>
      </pivotArea>
    </format>
    <format dxfId="252">
      <pivotArea outline="0" fieldPosition="0">
        <references count="4">
          <reference field="4294967294" count="1" selected="0">
            <x v="20"/>
          </reference>
          <reference field="0" count="1" selected="0">
            <x v="1"/>
          </reference>
          <reference field="4" count="1" selected="0">
            <x v="5"/>
          </reference>
          <reference field="33" count="1" selected="0">
            <x v="0"/>
          </reference>
        </references>
      </pivotArea>
    </format>
    <format dxfId="251">
      <pivotArea outline="0" fieldPosition="0">
        <references count="4">
          <reference field="4294967294" count="1" selected="0">
            <x v="26"/>
          </reference>
          <reference field="0" count="1" selected="0">
            <x v="1"/>
          </reference>
          <reference field="4" count="1" selected="0">
            <x v="5"/>
          </reference>
          <reference field="33" count="1" selected="0">
            <x v="0"/>
          </reference>
        </references>
      </pivotArea>
    </format>
    <format dxfId="250">
      <pivotArea outline="0" fieldPosition="0">
        <references count="4">
          <reference field="4294967294" count="1" selected="0">
            <x v="23"/>
          </reference>
          <reference field="0" count="1" selected="0">
            <x v="1"/>
          </reference>
          <reference field="4" count="1" selected="0">
            <x v="5"/>
          </reference>
          <reference field="33" count="1" selected="0">
            <x v="0"/>
          </reference>
        </references>
      </pivotArea>
    </format>
    <format dxfId="249">
      <pivotArea outline="0" fieldPosition="0">
        <references count="4">
          <reference field="4294967294" count="1" selected="0">
            <x v="26"/>
          </reference>
          <reference field="0" count="1" selected="0">
            <x v="1"/>
          </reference>
          <reference field="4" count="1" selected="0">
            <x v="5"/>
          </reference>
          <reference field="33" count="1" selected="0">
            <x v="0"/>
          </reference>
        </references>
      </pivotArea>
    </format>
    <format dxfId="248">
      <pivotArea outline="0" fieldPosition="0">
        <references count="4">
          <reference field="4294967294" count="1" selected="0">
            <x v="29"/>
          </reference>
          <reference field="0" count="1" selected="0">
            <x v="1"/>
          </reference>
          <reference field="4" count="1" selected="0">
            <x v="5"/>
          </reference>
          <reference field="33" count="1" selected="0">
            <x v="0"/>
          </reference>
        </references>
      </pivotArea>
    </format>
    <format dxfId="247">
      <pivotArea outline="0" fieldPosition="0">
        <references count="4">
          <reference field="4294967294" count="1" selected="0">
            <x v="2"/>
          </reference>
          <reference field="0" count="1" selected="0">
            <x v="3"/>
          </reference>
          <reference field="4" count="1" selected="0">
            <x v="9"/>
          </reference>
          <reference field="33" count="1" selected="0">
            <x v="1"/>
          </reference>
        </references>
      </pivotArea>
    </format>
    <format dxfId="246">
      <pivotArea outline="0" fieldPosition="0">
        <references count="4">
          <reference field="4294967294" count="1" selected="0">
            <x v="14"/>
          </reference>
          <reference field="0" count="1" selected="0">
            <x v="3"/>
          </reference>
          <reference field="4" count="1" selected="0">
            <x v="9"/>
          </reference>
          <reference field="33" count="1" selected="0">
            <x v="1"/>
          </reference>
        </references>
      </pivotArea>
    </format>
    <format dxfId="245">
      <pivotArea outline="0" fieldPosition="0">
        <references count="4">
          <reference field="4294967294" count="1" selected="0">
            <x v="20"/>
          </reference>
          <reference field="0" count="1" selected="0">
            <x v="3"/>
          </reference>
          <reference field="4" count="1" selected="0">
            <x v="1"/>
          </reference>
          <reference field="33" count="1" selected="0">
            <x v="0"/>
          </reference>
        </references>
      </pivotArea>
    </format>
    <format dxfId="244">
      <pivotArea outline="0" fieldPosition="0">
        <references count="4">
          <reference field="4294967294" count="1" selected="0">
            <x v="26"/>
          </reference>
          <reference field="0" count="1" selected="0">
            <x v="3"/>
          </reference>
          <reference field="4" count="1" selected="0">
            <x v="1"/>
          </reference>
          <reference field="33" count="1" selected="0">
            <x v="0"/>
          </reference>
        </references>
      </pivotArea>
    </format>
    <format dxfId="243">
      <pivotArea outline="0" fieldPosition="0">
        <references count="4">
          <reference field="4294967294" count="1" selected="0">
            <x v="5"/>
          </reference>
          <reference field="0" count="1" selected="0">
            <x v="8"/>
          </reference>
          <reference field="4" count="1" selected="0">
            <x v="12"/>
          </reference>
          <reference field="33" count="1" selected="0">
            <x v="0"/>
          </reference>
        </references>
      </pivotArea>
    </format>
    <format dxfId="242">
      <pivotArea outline="0" fieldPosition="0">
        <references count="4">
          <reference field="4294967294" count="1" selected="0">
            <x v="8"/>
          </reference>
          <reference field="0" count="1" selected="0">
            <x v="8"/>
          </reference>
          <reference field="4" count="1" selected="0">
            <x v="12"/>
          </reference>
          <reference field="33" count="1" selected="0">
            <x v="0"/>
          </reference>
        </references>
      </pivotArea>
    </format>
    <format dxfId="241">
      <pivotArea outline="0" fieldPosition="0">
        <references count="4">
          <reference field="4294967294" count="1" selected="0">
            <x v="26"/>
          </reference>
          <reference field="0" count="1" selected="0">
            <x v="8"/>
          </reference>
          <reference field="4" count="1" selected="0">
            <x v="3"/>
          </reference>
          <reference field="33" count="1" selected="0">
            <x v="0"/>
          </reference>
        </references>
      </pivotArea>
    </format>
    <format dxfId="240">
      <pivotArea outline="0" fieldPosition="0">
        <references count="4">
          <reference field="4294967294" count="1" selected="0">
            <x v="20"/>
          </reference>
          <reference field="0" count="1" selected="0">
            <x v="8"/>
          </reference>
          <reference field="4" count="1" selected="0">
            <x v="3"/>
          </reference>
          <reference field="33" count="1" selected="0">
            <x v="0"/>
          </reference>
        </references>
      </pivotArea>
    </format>
    <format dxfId="239">
      <pivotArea outline="0" fieldPosition="0">
        <references count="4">
          <reference field="4294967294" count="1" selected="0">
            <x v="2"/>
          </reference>
          <reference field="0" count="1" selected="0">
            <x v="9"/>
          </reference>
          <reference field="4" count="1" selected="0">
            <x v="4"/>
          </reference>
          <reference field="33" count="1" selected="0">
            <x v="0"/>
          </reference>
        </references>
      </pivotArea>
    </format>
    <format dxfId="238">
      <pivotArea outline="0" fieldPosition="0">
        <references count="4">
          <reference field="4294967294" count="1" selected="0">
            <x v="8"/>
          </reference>
          <reference field="0" count="1" selected="0">
            <x v="9"/>
          </reference>
          <reference field="4" count="1" selected="0">
            <x v="4"/>
          </reference>
          <reference field="33" count="1" selected="0">
            <x v="0"/>
          </reference>
        </references>
      </pivotArea>
    </format>
    <format dxfId="237">
      <pivotArea outline="0" fieldPosition="0">
        <references count="4">
          <reference field="4294967294" count="1" selected="0">
            <x v="23"/>
          </reference>
          <reference field="0" count="1" selected="0">
            <x v="9"/>
          </reference>
          <reference field="4" count="1" selected="0">
            <x v="1"/>
          </reference>
          <reference field="33" count="1" selected="0">
            <x v="0"/>
          </reference>
        </references>
      </pivotArea>
    </format>
    <format dxfId="236">
      <pivotArea outline="0" fieldPosition="0">
        <references count="4">
          <reference field="4294967294" count="1" selected="0">
            <x v="20"/>
          </reference>
          <reference field="0" count="1" selected="0">
            <x v="10"/>
          </reference>
          <reference field="4" count="2" selected="0">
            <x v="4"/>
            <x v="5"/>
          </reference>
          <reference field="33" count="1" selected="0">
            <x v="0"/>
          </reference>
        </references>
      </pivotArea>
    </format>
    <format dxfId="235">
      <pivotArea outline="0" fieldPosition="0">
        <references count="4">
          <reference field="4294967294" count="1" selected="0">
            <x v="26"/>
          </reference>
          <reference field="0" count="1" selected="0">
            <x v="10"/>
          </reference>
          <reference field="4" count="1" selected="0">
            <x v="5"/>
          </reference>
          <reference field="33" count="1" selected="0">
            <x v="0"/>
          </reference>
        </references>
      </pivotArea>
    </format>
    <format dxfId="234">
      <pivotArea outline="0" fieldPosition="0">
        <references count="4">
          <reference field="4294967294" count="1" selected="0">
            <x v="26"/>
          </reference>
          <reference field="0" count="1" selected="0">
            <x v="10"/>
          </reference>
          <reference field="4" count="1" selected="0">
            <x v="4"/>
          </reference>
          <reference field="33" count="1" selected="0">
            <x v="0"/>
          </reference>
        </references>
      </pivotArea>
    </format>
    <format dxfId="233">
      <pivotArea outline="0" fieldPosition="0">
        <references count="4">
          <reference field="4294967294" count="1" selected="0">
            <x v="2"/>
          </reference>
          <reference field="0" count="1" selected="0">
            <x v="11"/>
          </reference>
          <reference field="4" count="1" selected="0">
            <x v="7"/>
          </reference>
          <reference field="33" count="1" selected="0">
            <x v="1"/>
          </reference>
        </references>
      </pivotArea>
    </format>
    <format dxfId="232">
      <pivotArea outline="0" fieldPosition="0">
        <references count="4">
          <reference field="4294967294" count="1" selected="0">
            <x v="14"/>
          </reference>
          <reference field="0" count="1" selected="0">
            <x v="11"/>
          </reference>
          <reference field="4" count="1" selected="0">
            <x v="7"/>
          </reference>
          <reference field="33" count="1" selected="0">
            <x v="1"/>
          </reference>
        </references>
      </pivotArea>
    </format>
    <format dxfId="231">
      <pivotArea outline="0" fieldPosition="0">
        <references count="4">
          <reference field="4294967294" count="1" selected="0">
            <x v="20"/>
          </reference>
          <reference field="0" count="1" selected="0">
            <x v="11"/>
          </reference>
          <reference field="4" count="1" selected="0">
            <x v="0"/>
          </reference>
          <reference field="33" count="1" selected="0">
            <x v="0"/>
          </reference>
        </references>
      </pivotArea>
    </format>
    <format dxfId="230">
      <pivotArea outline="0" fieldPosition="0">
        <references count="4">
          <reference field="4294967294" count="1" selected="0">
            <x v="23"/>
          </reference>
          <reference field="0" count="1" selected="0">
            <x v="11"/>
          </reference>
          <reference field="4" count="1" selected="0">
            <x v="0"/>
          </reference>
          <reference field="33" count="1" selected="0">
            <x v="0"/>
          </reference>
        </references>
      </pivotArea>
    </format>
    <format dxfId="229">
      <pivotArea outline="0" fieldPosition="0">
        <references count="4">
          <reference field="4294967294" count="1" selected="0">
            <x v="20"/>
          </reference>
          <reference field="0" count="1" selected="0">
            <x v="12"/>
          </reference>
          <reference field="4" count="2" selected="0">
            <x v="2"/>
            <x v="3"/>
          </reference>
          <reference field="33" count="1" selected="0">
            <x v="0"/>
          </reference>
        </references>
      </pivotArea>
    </format>
    <format dxfId="228">
      <pivotArea outline="0" fieldPosition="0">
        <references count="4">
          <reference field="4294967294" count="1" selected="0">
            <x v="23"/>
          </reference>
          <reference field="0" count="1" selected="0">
            <x v="12"/>
          </reference>
          <reference field="4" count="2" selected="0">
            <x v="2"/>
            <x v="3"/>
          </reference>
          <reference field="33" count="1" selected="0">
            <x v="0"/>
          </reference>
        </references>
      </pivotArea>
    </format>
    <format dxfId="227">
      <pivotArea outline="0" fieldPosition="0">
        <references count="4">
          <reference field="4294967294" count="1" selected="0">
            <x v="26"/>
          </reference>
          <reference field="0" count="1" selected="0">
            <x v="12"/>
          </reference>
          <reference field="4" count="2" selected="0">
            <x v="2"/>
            <x v="3"/>
          </reference>
          <reference field="33" count="1" selected="0">
            <x v="0"/>
          </reference>
        </references>
      </pivotArea>
    </format>
    <format dxfId="226">
      <pivotArea outline="0" fieldPosition="0">
        <references count="4">
          <reference field="4294967294" count="1" selected="0">
            <x v="26"/>
          </reference>
          <reference field="0" count="1" selected="0">
            <x v="12"/>
          </reference>
          <reference field="4" count="1" selected="0">
            <x v="5"/>
          </reference>
          <reference field="33" count="1" selected="0">
            <x v="0"/>
          </reference>
        </references>
      </pivotArea>
    </format>
    <format dxfId="225">
      <pivotArea outline="0" fieldPosition="0">
        <references count="4">
          <reference field="4294967294" count="1" selected="0">
            <x v="23"/>
          </reference>
          <reference field="0" count="1" selected="0">
            <x v="9"/>
          </reference>
          <reference field="4" count="1" selected="0">
            <x v="1"/>
          </reference>
          <reference field="33" count="1" selected="0">
            <x v="0"/>
          </reference>
        </references>
      </pivotArea>
    </format>
    <format dxfId="224">
      <pivotArea outline="0" fieldPosition="0">
        <references count="4">
          <reference field="4294967294" count="1" selected="0">
            <x v="20"/>
          </reference>
          <reference field="0" count="1" selected="0">
            <x v="10"/>
          </reference>
          <reference field="4" count="2" selected="0">
            <x v="4"/>
            <x v="5"/>
          </reference>
          <reference field="33" count="1" selected="0">
            <x v="0"/>
          </reference>
        </references>
      </pivotArea>
    </format>
    <format dxfId="223">
      <pivotArea outline="0" fieldPosition="0">
        <references count="4">
          <reference field="4294967294" count="1" selected="0">
            <x v="26"/>
          </reference>
          <reference field="0" count="1" selected="0">
            <x v="10"/>
          </reference>
          <reference field="4" count="2" selected="0">
            <x v="4"/>
            <x v="5"/>
          </reference>
          <reference field="33" count="1" selected="0">
            <x v="0"/>
          </reference>
        </references>
      </pivotArea>
    </format>
    <format dxfId="222">
      <pivotArea outline="0" fieldPosition="0">
        <references count="4">
          <reference field="4294967294" count="1" selected="0">
            <x v="2"/>
          </reference>
          <reference field="0" count="1" selected="0">
            <x v="11"/>
          </reference>
          <reference field="4" count="1" selected="0">
            <x v="7"/>
          </reference>
          <reference field="33" count="1" selected="0">
            <x v="1"/>
          </reference>
        </references>
      </pivotArea>
    </format>
    <format dxfId="221">
      <pivotArea outline="0" fieldPosition="0">
        <references count="4">
          <reference field="4294967294" count="1" selected="0">
            <x v="14"/>
          </reference>
          <reference field="0" count="1" selected="0">
            <x v="11"/>
          </reference>
          <reference field="4" count="1" selected="0">
            <x v="7"/>
          </reference>
          <reference field="33" count="1" selected="0">
            <x v="1"/>
          </reference>
        </references>
      </pivotArea>
    </format>
    <format dxfId="220">
      <pivotArea outline="0" fieldPosition="0">
        <references count="4">
          <reference field="4294967294" count="1" selected="0">
            <x v="20"/>
          </reference>
          <reference field="0" count="1" selected="0">
            <x v="11"/>
          </reference>
          <reference field="4" count="1" selected="0">
            <x v="0"/>
          </reference>
          <reference field="33" count="1" selected="0">
            <x v="0"/>
          </reference>
        </references>
      </pivotArea>
    </format>
    <format dxfId="219">
      <pivotArea outline="0" fieldPosition="0">
        <references count="4">
          <reference field="4294967294" count="1" selected="0">
            <x v="23"/>
          </reference>
          <reference field="0" count="1" selected="0">
            <x v="11"/>
          </reference>
          <reference field="4" count="1" selected="0">
            <x v="0"/>
          </reference>
          <reference field="33" count="1" selected="0">
            <x v="0"/>
          </reference>
        </references>
      </pivotArea>
    </format>
    <format dxfId="218">
      <pivotArea outline="0" fieldPosition="0">
        <references count="4">
          <reference field="4294967294" count="1" selected="0">
            <x v="20"/>
          </reference>
          <reference field="0" count="1" selected="0">
            <x v="12"/>
          </reference>
          <reference field="4" count="2" selected="0">
            <x v="2"/>
            <x v="3"/>
          </reference>
          <reference field="33" count="1" selected="0">
            <x v="0"/>
          </reference>
        </references>
      </pivotArea>
    </format>
    <format dxfId="217">
      <pivotArea outline="0" fieldPosition="0">
        <references count="4">
          <reference field="4294967294" count="1" selected="0">
            <x v="23"/>
          </reference>
          <reference field="0" count="1" selected="0">
            <x v="12"/>
          </reference>
          <reference field="4" count="2" selected="0">
            <x v="2"/>
            <x v="3"/>
          </reference>
          <reference field="33" count="1" selected="0">
            <x v="0"/>
          </reference>
        </references>
      </pivotArea>
    </format>
    <format dxfId="216">
      <pivotArea outline="0" fieldPosition="0">
        <references count="4">
          <reference field="4294967294" count="1" selected="0">
            <x v="26"/>
          </reference>
          <reference field="0" count="1" selected="0">
            <x v="12"/>
          </reference>
          <reference field="4" count="2" selected="0">
            <x v="2"/>
            <x v="3"/>
          </reference>
          <reference field="33" count="1" selected="0">
            <x v="0"/>
          </reference>
        </references>
      </pivotArea>
    </format>
    <format dxfId="215">
      <pivotArea outline="0" fieldPosition="0">
        <references count="4">
          <reference field="4294967294" count="1" selected="0">
            <x v="26"/>
          </reference>
          <reference field="0" count="1" selected="0">
            <x v="12"/>
          </reference>
          <reference field="4" count="1" selected="0">
            <x v="5"/>
          </reference>
          <reference field="33" count="1" selected="0">
            <x v="0"/>
          </reference>
        </references>
      </pivotArea>
    </format>
    <format dxfId="214">
      <pivotArea outline="0" fieldPosition="0">
        <references count="4">
          <reference field="4294967294" count="1" selected="0">
            <x v="2"/>
          </reference>
          <reference field="0" count="1" selected="0">
            <x v="13"/>
          </reference>
          <reference field="4" count="1" selected="0">
            <x v="4"/>
          </reference>
          <reference field="33" count="1" selected="0">
            <x v="0"/>
          </reference>
        </references>
      </pivotArea>
    </format>
    <format dxfId="213">
      <pivotArea outline="0" fieldPosition="0">
        <references count="4">
          <reference field="4294967294" count="1" selected="0">
            <x v="2"/>
          </reference>
          <reference field="0" count="1" selected="0">
            <x v="13"/>
          </reference>
          <reference field="4" count="1" selected="0">
            <x v="8"/>
          </reference>
          <reference field="33" count="1" selected="0">
            <x v="1"/>
          </reference>
        </references>
      </pivotArea>
    </format>
    <format dxfId="212">
      <pivotArea outline="0" fieldPosition="0">
        <references count="4">
          <reference field="4294967294" count="1" selected="0">
            <x v="5"/>
          </reference>
          <reference field="0" count="1" selected="0">
            <x v="13"/>
          </reference>
          <reference field="4" count="1" selected="0">
            <x v="4"/>
          </reference>
          <reference field="33" count="1" selected="0">
            <x v="0"/>
          </reference>
        </references>
      </pivotArea>
    </format>
    <format dxfId="211">
      <pivotArea outline="0" fieldPosition="0">
        <references count="4">
          <reference field="4294967294" count="1" selected="0">
            <x v="5"/>
          </reference>
          <reference field="0" count="1" selected="0">
            <x v="13"/>
          </reference>
          <reference field="4" count="1" selected="0">
            <x v="8"/>
          </reference>
          <reference field="33" count="1" selected="0">
            <x v="1"/>
          </reference>
        </references>
      </pivotArea>
    </format>
    <format dxfId="210">
      <pivotArea outline="0" fieldPosition="0">
        <references count="4">
          <reference field="4294967294" count="1" selected="0">
            <x v="20"/>
          </reference>
          <reference field="0" count="1" selected="0">
            <x v="13"/>
          </reference>
          <reference field="4" count="1" selected="0">
            <x v="1"/>
          </reference>
          <reference field="33" count="1" selected="0">
            <x v="0"/>
          </reference>
        </references>
      </pivotArea>
    </format>
    <format dxfId="209">
      <pivotArea outline="0" fieldPosition="0">
        <references count="4">
          <reference field="4294967294" count="1" selected="0">
            <x v="23"/>
          </reference>
          <reference field="0" count="1" selected="0">
            <x v="13"/>
          </reference>
          <reference field="4" count="1" selected="0">
            <x v="1"/>
          </reference>
          <reference field="33" count="1" selected="0">
            <x v="0"/>
          </reference>
        </references>
      </pivotArea>
    </format>
    <format dxfId="208">
      <pivotArea outline="0" fieldPosition="0">
        <references count="4">
          <reference field="4294967294" count="1" selected="0">
            <x v="20"/>
          </reference>
          <reference field="0" count="1" selected="0">
            <x v="13"/>
          </reference>
          <reference field="4" count="1" selected="0">
            <x v="4"/>
          </reference>
          <reference field="33" count="1" selected="0">
            <x v="0"/>
          </reference>
        </references>
      </pivotArea>
    </format>
    <format dxfId="207">
      <pivotArea outline="0" fieldPosition="0">
        <references count="4">
          <reference field="4294967294" count="1" selected="0">
            <x v="26"/>
          </reference>
          <reference field="0" count="1" selected="0">
            <x v="13"/>
          </reference>
          <reference field="4" count="1" selected="0">
            <x v="4"/>
          </reference>
          <reference field="33" count="1" selected="0">
            <x v="0"/>
          </reference>
        </references>
      </pivotArea>
    </format>
    <format dxfId="206">
      <pivotArea outline="0" fieldPosition="0">
        <references count="4">
          <reference field="4294967294" count="1" selected="0">
            <x v="29"/>
          </reference>
          <reference field="0" count="1" selected="0">
            <x v="13"/>
          </reference>
          <reference field="4" count="1" selected="0">
            <x v="4"/>
          </reference>
          <reference field="33" count="1" selected="0">
            <x v="0"/>
          </reference>
        </references>
      </pivotArea>
    </format>
    <format dxfId="205">
      <pivotArea outline="0" fieldPosition="0">
        <references count="4">
          <reference field="4294967294" count="1" selected="0">
            <x v="35"/>
          </reference>
          <reference field="0" count="1" selected="0">
            <x v="13"/>
          </reference>
          <reference field="4" count="1" selected="0">
            <x v="1"/>
          </reference>
          <reference field="33" count="1" selected="0">
            <x v="0"/>
          </reference>
        </references>
      </pivotArea>
    </format>
    <format dxfId="204">
      <pivotArea outline="0" fieldPosition="0">
        <references count="4">
          <reference field="4294967294" count="1" selected="0">
            <x v="2"/>
          </reference>
          <reference field="0" count="1" selected="0">
            <x v="14"/>
          </reference>
          <reference field="4" count="1" selected="0">
            <x v="3"/>
          </reference>
          <reference field="33" count="1" selected="0">
            <x v="0"/>
          </reference>
        </references>
      </pivotArea>
    </format>
    <format dxfId="203">
      <pivotArea outline="0" fieldPosition="0">
        <references count="4">
          <reference field="4294967294" count="1" selected="0">
            <x v="2"/>
          </reference>
          <reference field="0" count="1" selected="0">
            <x v="14"/>
          </reference>
          <reference field="4" count="1" selected="0">
            <x v="4"/>
          </reference>
          <reference field="33" count="1" selected="0">
            <x v="0"/>
          </reference>
        </references>
      </pivotArea>
    </format>
    <format dxfId="202">
      <pivotArea outline="0" fieldPosition="0">
        <references count="4">
          <reference field="4294967294" count="1" selected="0">
            <x v="5"/>
          </reference>
          <reference field="0" count="1" selected="0">
            <x v="14"/>
          </reference>
          <reference field="4" count="1" selected="0">
            <x v="3"/>
          </reference>
          <reference field="33" count="1" selected="0">
            <x v="0"/>
          </reference>
        </references>
      </pivotArea>
    </format>
    <format dxfId="201">
      <pivotArea outline="0" fieldPosition="0">
        <references count="4">
          <reference field="4294967294" count="1" selected="0">
            <x v="8"/>
          </reference>
          <reference field="0" count="1" selected="0">
            <x v="14"/>
          </reference>
          <reference field="4" count="1" selected="0">
            <x v="3"/>
          </reference>
          <reference field="33" count="1" selected="0">
            <x v="0"/>
          </reference>
        </references>
      </pivotArea>
    </format>
    <format dxfId="200">
      <pivotArea outline="0" fieldPosition="0">
        <references count="4">
          <reference field="4294967294" count="1" selected="0">
            <x v="8"/>
          </reference>
          <reference field="0" count="1" selected="0">
            <x v="14"/>
          </reference>
          <reference field="4" count="1" selected="0">
            <x v="4"/>
          </reference>
          <reference field="33" count="1" selected="0">
            <x v="0"/>
          </reference>
        </references>
      </pivotArea>
    </format>
    <format dxfId="199">
      <pivotArea outline="0" fieldPosition="0">
        <references count="4">
          <reference field="4294967294" count="1" selected="0">
            <x v="20"/>
          </reference>
          <reference field="0" count="1" selected="0">
            <x v="14"/>
          </reference>
          <reference field="4" count="1" selected="0">
            <x v="4"/>
          </reference>
          <reference field="33" count="1" selected="0">
            <x v="0"/>
          </reference>
        </references>
      </pivotArea>
    </format>
    <format dxfId="198">
      <pivotArea outline="0" fieldPosition="0">
        <references count="4">
          <reference field="4294967294" count="1" selected="0">
            <x v="23"/>
          </reference>
          <reference field="0" count="1" selected="0">
            <x v="14"/>
          </reference>
          <reference field="4" count="1" selected="0">
            <x v="3"/>
          </reference>
          <reference field="33" count="1" selected="0">
            <x v="0"/>
          </reference>
        </references>
      </pivotArea>
    </format>
    <format dxfId="197">
      <pivotArea outline="0" fieldPosition="0">
        <references count="4">
          <reference field="4294967294" count="1" selected="0">
            <x v="26"/>
          </reference>
          <reference field="0" count="1" selected="0">
            <x v="14"/>
          </reference>
          <reference field="4" count="1" selected="0">
            <x v="2"/>
          </reference>
          <reference field="33" count="1" selected="0">
            <x v="0"/>
          </reference>
        </references>
      </pivotArea>
    </format>
    <format dxfId="196">
      <pivotArea outline="0" fieldPosition="0">
        <references count="4">
          <reference field="4294967294" count="1" selected="0">
            <x v="26"/>
          </reference>
          <reference field="0" count="1" selected="0">
            <x v="14"/>
          </reference>
          <reference field="4" count="1" selected="0">
            <x v="4"/>
          </reference>
          <reference field="33" count="1" selected="0">
            <x v="0"/>
          </reference>
        </references>
      </pivotArea>
    </format>
    <format dxfId="195">
      <pivotArea outline="0" fieldPosition="0">
        <references count="4">
          <reference field="4294967294" count="1" selected="0">
            <x v="32"/>
          </reference>
          <reference field="0" count="1" selected="0">
            <x v="14"/>
          </reference>
          <reference field="4" count="1" selected="0">
            <x v="2"/>
          </reference>
          <reference field="33" count="1" selected="0">
            <x v="0"/>
          </reference>
        </references>
      </pivotArea>
    </format>
    <format dxfId="194">
      <pivotArea outline="0" fieldPosition="0">
        <references count="4">
          <reference field="4294967294" count="1" selected="0">
            <x v="2"/>
          </reference>
          <reference field="0" count="1" selected="0">
            <x v="15"/>
          </reference>
          <reference field="4" count="1" selected="0">
            <x v="9"/>
          </reference>
          <reference field="33" count="1" selected="0">
            <x v="1"/>
          </reference>
        </references>
      </pivotArea>
    </format>
    <format dxfId="193">
      <pivotArea outline="0" fieldPosition="0">
        <references count="4">
          <reference field="4294967294" count="1" selected="0">
            <x v="8"/>
          </reference>
          <reference field="0" count="1" selected="0">
            <x v="15"/>
          </reference>
          <reference field="4" count="1" selected="0">
            <x v="9"/>
          </reference>
          <reference field="33" count="1" selected="0">
            <x v="1"/>
          </reference>
        </references>
      </pivotArea>
    </format>
    <format dxfId="192">
      <pivotArea outline="0" fieldPosition="0">
        <references count="4">
          <reference field="4294967294" count="1" selected="0">
            <x v="20"/>
          </reference>
          <reference field="0" count="1" selected="0">
            <x v="15"/>
          </reference>
          <reference field="4" count="1" selected="0">
            <x v="4"/>
          </reference>
          <reference field="33" count="1" selected="0">
            <x v="0"/>
          </reference>
        </references>
      </pivotArea>
    </format>
    <format dxfId="191">
      <pivotArea outline="0" fieldPosition="0">
        <references count="4">
          <reference field="4294967294" count="1" selected="0">
            <x v="20"/>
          </reference>
          <reference field="0" count="1" selected="0">
            <x v="15"/>
          </reference>
          <reference field="4" count="1" selected="0">
            <x v="3"/>
          </reference>
          <reference field="33" count="1" selected="0">
            <x v="0"/>
          </reference>
        </references>
      </pivotArea>
    </format>
    <format dxfId="190">
      <pivotArea outline="0" fieldPosition="0">
        <references count="4">
          <reference field="4294967294" count="1" selected="0">
            <x v="23"/>
          </reference>
          <reference field="0" count="1" selected="0">
            <x v="15"/>
          </reference>
          <reference field="4" count="2" selected="0">
            <x v="3"/>
            <x v="4"/>
          </reference>
          <reference field="33" count="1" selected="0">
            <x v="0"/>
          </reference>
        </references>
      </pivotArea>
    </format>
    <format dxfId="189">
      <pivotArea outline="0" fieldPosition="0">
        <references count="4">
          <reference field="4294967294" count="1" selected="0">
            <x v="26"/>
          </reference>
          <reference field="0" count="1" selected="0">
            <x v="15"/>
          </reference>
          <reference field="4" count="1" selected="0">
            <x v="4"/>
          </reference>
          <reference field="33" count="1" selected="0">
            <x v="0"/>
          </reference>
        </references>
      </pivotArea>
    </format>
    <format dxfId="188">
      <pivotArea outline="0" fieldPosition="0">
        <references count="4">
          <reference field="4294967294" count="1" selected="0">
            <x v="2"/>
          </reference>
          <reference field="0" count="1" selected="0">
            <x v="16"/>
          </reference>
          <reference field="4" count="1" selected="0">
            <x v="8"/>
          </reference>
          <reference field="33" count="1" selected="0">
            <x v="1"/>
          </reference>
        </references>
      </pivotArea>
    </format>
    <format dxfId="187">
      <pivotArea outline="0" fieldPosition="0">
        <references count="4">
          <reference field="4294967294" count="1" selected="0">
            <x v="8"/>
          </reference>
          <reference field="0" count="1" selected="0">
            <x v="16"/>
          </reference>
          <reference field="4" count="1" selected="0">
            <x v="8"/>
          </reference>
          <reference field="33" count="1" selected="0">
            <x v="1"/>
          </reference>
        </references>
      </pivotArea>
    </format>
    <format dxfId="186">
      <pivotArea outline="0" fieldPosition="0">
        <references count="4">
          <reference field="4294967294" count="1" selected="0">
            <x v="23"/>
          </reference>
          <reference field="0" count="1" selected="0">
            <x v="16"/>
          </reference>
          <reference field="4" count="1" selected="0">
            <x v="2"/>
          </reference>
          <reference field="33" count="1" selected="0">
            <x v="0"/>
          </reference>
        </references>
      </pivotArea>
    </format>
    <format dxfId="185">
      <pivotArea outline="0" fieldPosition="0">
        <references count="2">
          <reference field="4294967294" count="36" selected="0">
            <x v="0"/>
            <x v="1"/>
            <x v="2"/>
            <x v="3"/>
            <x v="4"/>
            <x v="5"/>
            <x v="6"/>
            <x v="7"/>
            <x v="8"/>
            <x v="9"/>
            <x v="10"/>
            <x v="11"/>
            <x v="12"/>
            <x v="13"/>
            <x v="14"/>
            <x v="15"/>
            <x v="16"/>
            <x v="17"/>
            <x v="18"/>
            <x v="19"/>
            <x v="20"/>
            <x v="21"/>
            <x v="22"/>
            <x v="23"/>
            <x v="24"/>
            <x v="25"/>
            <x v="26"/>
            <x v="27"/>
            <x v="28"/>
            <x v="29"/>
            <x v="30"/>
            <x v="31"/>
            <x v="32"/>
            <x v="33"/>
            <x v="34"/>
            <x v="35"/>
          </reference>
          <reference field="0" count="1" selected="0">
            <x v="7"/>
          </reference>
        </references>
      </pivotArea>
    </format>
    <format dxfId="184">
      <pivotArea dataOnly="0" labelOnly="1" outline="0" fieldPosition="0">
        <references count="1">
          <reference field="0" count="1">
            <x v="7"/>
          </reference>
        </references>
      </pivotArea>
    </format>
    <format dxfId="18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7"/>
          </reference>
        </references>
      </pivotArea>
    </format>
    <format dxfId="182">
      <pivotArea outline="0" fieldPosition="0">
        <references count="4">
          <reference field="4294967294" count="1" selected="0">
            <x v="24"/>
          </reference>
          <reference field="0" count="1" selected="0">
            <x v="1"/>
          </reference>
          <reference field="4" count="1" selected="0">
            <x v="5"/>
          </reference>
          <reference field="33" count="1" selected="0">
            <x v="0"/>
          </reference>
        </references>
      </pivotArea>
    </format>
    <format dxfId="181">
      <pivotArea outline="0" fieldPosition="0">
        <references count="4">
          <reference field="4294967294" count="1" selected="0">
            <x v="8"/>
          </reference>
          <reference field="0" count="1" selected="0">
            <x v="0"/>
          </reference>
          <reference field="4" count="1" selected="0">
            <x v="11"/>
          </reference>
          <reference field="33" count="1" selected="0">
            <x v="2"/>
          </reference>
        </references>
      </pivotArea>
    </format>
    <format dxfId="180">
      <pivotArea outline="0" fieldPosition="0">
        <references count="4">
          <reference field="4294967294" count="1" selected="0">
            <x v="26"/>
          </reference>
          <reference field="0" count="1" selected="0">
            <x v="14"/>
          </reference>
          <reference field="4" count="1" selected="0">
            <x v="3"/>
          </reference>
          <reference field="33" count="1" selected="0">
            <x v="0"/>
          </reference>
        </references>
      </pivotArea>
    </format>
    <format dxfId="179">
      <pivotArea outline="0" fieldPosition="0">
        <references count="4">
          <reference field="4294967294" count="1" selected="0">
            <x v="2"/>
          </reference>
          <reference field="0" count="1" selected="0">
            <x v="9"/>
          </reference>
          <reference field="4" count="3" selected="0">
            <x v="7"/>
            <x v="8"/>
            <x v="9"/>
          </reference>
          <reference field="33" count="1" selected="0">
            <x v="1"/>
          </reference>
        </references>
      </pivotArea>
    </format>
    <format dxfId="178">
      <pivotArea outline="0" fieldPosition="0">
        <references count="3">
          <reference field="4294967294" count="1" selected="0">
            <x v="2"/>
          </reference>
          <reference field="0" count="1" selected="0">
            <x v="9"/>
          </reference>
          <reference field="33" count="1" selected="0" defaultSubtotal="1">
            <x v="1"/>
          </reference>
        </references>
      </pivotArea>
    </format>
    <format dxfId="177">
      <pivotArea outline="0" fieldPosition="0">
        <references count="4">
          <reference field="4294967294" count="6" selected="0">
            <x v="21"/>
            <x v="22"/>
            <x v="23"/>
            <x v="24"/>
            <x v="25"/>
            <x v="26"/>
          </reference>
          <reference field="0" count="1" selected="0">
            <x v="2"/>
          </reference>
          <reference field="4" count="1" selected="0">
            <x v="0"/>
          </reference>
          <reference field="33" count="1" selected="0">
            <x v="0"/>
          </reference>
        </references>
      </pivotArea>
    </format>
    <format dxfId="176">
      <pivotArea outline="0" fieldPosition="0">
        <references count="4">
          <reference field="4294967294" count="1" selected="0">
            <x v="20"/>
          </reference>
          <reference field="0" count="1" selected="0">
            <x v="2"/>
          </reference>
          <reference field="4" count="1" selected="0">
            <x v="3"/>
          </reference>
          <reference field="33" count="1" selected="0">
            <x v="0"/>
          </reference>
        </references>
      </pivotArea>
    </format>
    <format dxfId="175">
      <pivotArea outline="0" fieldPosition="0">
        <references count="4">
          <reference field="4294967294" count="1" selected="0">
            <x v="26"/>
          </reference>
          <reference field="0" count="1" selected="0">
            <x v="2"/>
          </reference>
          <reference field="4" count="1" selected="0">
            <x v="3"/>
          </reference>
          <reference field="33" count="1" selected="0">
            <x v="0"/>
          </reference>
        </references>
      </pivotArea>
    </format>
    <format dxfId="174">
      <pivotArea outline="0" fieldPosition="0">
        <references count="4">
          <reference field="4294967294" count="1" selected="0">
            <x v="2"/>
          </reference>
          <reference field="0" count="1" selected="0">
            <x v="6"/>
          </reference>
          <reference field="4" count="3" selected="0">
            <x v="7"/>
            <x v="8"/>
            <x v="9"/>
          </reference>
          <reference field="33" count="1" selected="0">
            <x v="1"/>
          </reference>
        </references>
      </pivotArea>
    </format>
    <format dxfId="173">
      <pivotArea outline="0" fieldPosition="0">
        <references count="4">
          <reference field="4294967294" count="1" selected="0">
            <x v="8"/>
          </reference>
          <reference field="0" count="1" selected="0">
            <x v="6"/>
          </reference>
          <reference field="4" count="3" selected="0">
            <x v="7"/>
            <x v="8"/>
            <x v="9"/>
          </reference>
          <reference field="33" count="1" selected="0">
            <x v="1"/>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2" cacheId="19" dataOnRows="1" applyNumberFormats="0" applyBorderFormats="0" applyFontFormats="0" applyPatternFormats="0" applyAlignmentFormats="0" applyWidthHeightFormats="1" dataCaption="Data" updatedVersion="3" asteriskTotals="1" showMemberPropertyTips="0" useAutoFormatting="1" rowGrandTotals="0" colGrandTotals="0" itemPrintTitles="1" createdVersion="1" indent="0" compact="0" compactData="0" gridDropZones="1">
  <location ref="A3:T133" firstHeaderRow="1" firstDataRow="3" firstDataCol="2"/>
  <pivotFields count="74">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axis="axisCol" compact="0" outline="0" subtotalTop="0" showAll="0" includeNewItemsInFilter="1" defaultSubtotal="0">
      <items count="16">
        <item x="0"/>
        <item x="1"/>
        <item x="2"/>
        <item x="3"/>
        <item x="4"/>
        <item x="5"/>
        <item x="11"/>
        <item x="6"/>
        <item x="7"/>
        <item x="8"/>
        <item x="9"/>
        <item x="10"/>
        <item x="13"/>
        <item m="1" x="15"/>
        <item m="1" x="14"/>
        <item x="12"/>
      </items>
    </pivotField>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subtotalCaption="?" compact="0" outline="0" subtotalTop="0" showAll="0" includeNewItemsInFilter="1">
      <items count="6">
        <item n="Four-Year" x="2"/>
        <item n="Two-Year" x="1"/>
        <item n="Technical" x="3"/>
        <item h="1" x="0"/>
        <item x="4"/>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0"/>
    <field x="-2"/>
  </rowFields>
  <rowItems count="128">
    <i>
      <x/>
      <x/>
    </i>
    <i r="1" i="1">
      <x v="1"/>
    </i>
    <i r="1" i="2">
      <x v="2"/>
    </i>
    <i r="1" i="3">
      <x v="3"/>
    </i>
    <i r="1" i="4">
      <x v="4"/>
    </i>
    <i r="1" i="5">
      <x v="5"/>
    </i>
    <i r="1" i="6">
      <x v="6"/>
    </i>
    <i r="1" i="7">
      <x v="7"/>
    </i>
    <i>
      <x v="1"/>
      <x/>
    </i>
    <i r="1" i="1">
      <x v="1"/>
    </i>
    <i r="1" i="2">
      <x v="2"/>
    </i>
    <i r="1" i="3">
      <x v="3"/>
    </i>
    <i r="1" i="4">
      <x v="4"/>
    </i>
    <i r="1" i="5">
      <x v="5"/>
    </i>
    <i r="1" i="6">
      <x v="6"/>
    </i>
    <i r="1" i="7">
      <x v="7"/>
    </i>
    <i>
      <x v="2"/>
      <x/>
    </i>
    <i r="1" i="1">
      <x v="1"/>
    </i>
    <i r="1" i="2">
      <x v="2"/>
    </i>
    <i r="1" i="3">
      <x v="3"/>
    </i>
    <i r="1" i="4">
      <x v="4"/>
    </i>
    <i r="1" i="5">
      <x v="5"/>
    </i>
    <i r="1" i="6">
      <x v="6"/>
    </i>
    <i r="1" i="7">
      <x v="7"/>
    </i>
    <i>
      <x v="3"/>
      <x/>
    </i>
    <i r="1" i="1">
      <x v="1"/>
    </i>
    <i r="1" i="2">
      <x v="2"/>
    </i>
    <i r="1" i="3">
      <x v="3"/>
    </i>
    <i r="1" i="4">
      <x v="4"/>
    </i>
    <i r="1" i="5">
      <x v="5"/>
    </i>
    <i r="1" i="6">
      <x v="6"/>
    </i>
    <i r="1" i="7">
      <x v="7"/>
    </i>
    <i>
      <x v="4"/>
      <x/>
    </i>
    <i r="1" i="1">
      <x v="1"/>
    </i>
    <i r="1" i="2">
      <x v="2"/>
    </i>
    <i r="1" i="3">
      <x v="3"/>
    </i>
    <i r="1" i="4">
      <x v="4"/>
    </i>
    <i r="1" i="5">
      <x v="5"/>
    </i>
    <i r="1" i="6">
      <x v="6"/>
    </i>
    <i r="1" i="7">
      <x v="7"/>
    </i>
    <i>
      <x v="5"/>
      <x/>
    </i>
    <i r="1" i="1">
      <x v="1"/>
    </i>
    <i r="1" i="2">
      <x v="2"/>
    </i>
    <i r="1" i="3">
      <x v="3"/>
    </i>
    <i r="1" i="4">
      <x v="4"/>
    </i>
    <i r="1" i="5">
      <x v="5"/>
    </i>
    <i r="1" i="6">
      <x v="6"/>
    </i>
    <i r="1" i="7">
      <x v="7"/>
    </i>
    <i>
      <x v="6"/>
      <x/>
    </i>
    <i r="1" i="1">
      <x v="1"/>
    </i>
    <i r="1" i="2">
      <x v="2"/>
    </i>
    <i r="1" i="3">
      <x v="3"/>
    </i>
    <i r="1" i="4">
      <x v="4"/>
    </i>
    <i r="1" i="5">
      <x v="5"/>
    </i>
    <i r="1" i="6">
      <x v="6"/>
    </i>
    <i r="1" i="7">
      <x v="7"/>
    </i>
    <i>
      <x v="7"/>
      <x/>
    </i>
    <i r="1" i="1">
      <x v="1"/>
    </i>
    <i r="1" i="2">
      <x v="2"/>
    </i>
    <i r="1" i="3">
      <x v="3"/>
    </i>
    <i r="1" i="4">
      <x v="4"/>
    </i>
    <i r="1" i="5">
      <x v="5"/>
    </i>
    <i r="1" i="6">
      <x v="6"/>
    </i>
    <i r="1" i="7">
      <x v="7"/>
    </i>
    <i>
      <x v="8"/>
      <x/>
    </i>
    <i r="1" i="1">
      <x v="1"/>
    </i>
    <i r="1" i="2">
      <x v="2"/>
    </i>
    <i r="1" i="3">
      <x v="3"/>
    </i>
    <i r="1" i="4">
      <x v="4"/>
    </i>
    <i r="1" i="5">
      <x v="5"/>
    </i>
    <i r="1" i="6">
      <x v="6"/>
    </i>
    <i r="1" i="7">
      <x v="7"/>
    </i>
    <i>
      <x v="9"/>
      <x/>
    </i>
    <i r="1" i="1">
      <x v="1"/>
    </i>
    <i r="1" i="2">
      <x v="2"/>
    </i>
    <i r="1" i="3">
      <x v="3"/>
    </i>
    <i r="1" i="4">
      <x v="4"/>
    </i>
    <i r="1" i="5">
      <x v="5"/>
    </i>
    <i r="1" i="6">
      <x v="6"/>
    </i>
    <i r="1" i="7">
      <x v="7"/>
    </i>
    <i>
      <x v="10"/>
      <x/>
    </i>
    <i r="1" i="1">
      <x v="1"/>
    </i>
    <i r="1" i="2">
      <x v="2"/>
    </i>
    <i r="1" i="3">
      <x v="3"/>
    </i>
    <i r="1" i="4">
      <x v="4"/>
    </i>
    <i r="1" i="5">
      <x v="5"/>
    </i>
    <i r="1" i="6">
      <x v="6"/>
    </i>
    <i r="1" i="7">
      <x v="7"/>
    </i>
    <i>
      <x v="11"/>
      <x/>
    </i>
    <i r="1" i="1">
      <x v="1"/>
    </i>
    <i r="1" i="2">
      <x v="2"/>
    </i>
    <i r="1" i="3">
      <x v="3"/>
    </i>
    <i r="1" i="4">
      <x v="4"/>
    </i>
    <i r="1" i="5">
      <x v="5"/>
    </i>
    <i r="1" i="6">
      <x v="6"/>
    </i>
    <i r="1" i="7">
      <x v="7"/>
    </i>
    <i>
      <x v="12"/>
      <x/>
    </i>
    <i r="1" i="1">
      <x v="1"/>
    </i>
    <i r="1" i="2">
      <x v="2"/>
    </i>
    <i r="1" i="3">
      <x v="3"/>
    </i>
    <i r="1" i="4">
      <x v="4"/>
    </i>
    <i r="1" i="5">
      <x v="5"/>
    </i>
    <i r="1" i="6">
      <x v="6"/>
    </i>
    <i r="1" i="7">
      <x v="7"/>
    </i>
    <i>
      <x v="13"/>
      <x/>
    </i>
    <i r="1" i="1">
      <x v="1"/>
    </i>
    <i r="1" i="2">
      <x v="2"/>
    </i>
    <i r="1" i="3">
      <x v="3"/>
    </i>
    <i r="1" i="4">
      <x v="4"/>
    </i>
    <i r="1" i="5">
      <x v="5"/>
    </i>
    <i r="1" i="6">
      <x v="6"/>
    </i>
    <i r="1" i="7">
      <x v="7"/>
    </i>
    <i>
      <x v="14"/>
      <x/>
    </i>
    <i r="1" i="1">
      <x v="1"/>
    </i>
    <i r="1" i="2">
      <x v="2"/>
    </i>
    <i r="1" i="3">
      <x v="3"/>
    </i>
    <i r="1" i="4">
      <x v="4"/>
    </i>
    <i r="1" i="5">
      <x v="5"/>
    </i>
    <i r="1" i="6">
      <x v="6"/>
    </i>
    <i r="1" i="7">
      <x v="7"/>
    </i>
    <i>
      <x v="15"/>
      <x/>
    </i>
    <i r="1" i="1">
      <x v="1"/>
    </i>
    <i r="1" i="2">
      <x v="2"/>
    </i>
    <i r="1" i="3">
      <x v="3"/>
    </i>
    <i r="1" i="4">
      <x v="4"/>
    </i>
    <i r="1" i="5">
      <x v="5"/>
    </i>
    <i r="1" i="6">
      <x v="6"/>
    </i>
    <i r="1" i="7">
      <x v="7"/>
    </i>
  </rowItems>
  <colFields count="2">
    <field x="33"/>
    <field x="4"/>
  </colFields>
  <colItems count="18">
    <i>
      <x/>
      <x/>
    </i>
    <i r="1">
      <x v="1"/>
    </i>
    <i r="1">
      <x v="2"/>
    </i>
    <i r="1">
      <x v="3"/>
    </i>
    <i r="1">
      <x v="4"/>
    </i>
    <i r="1">
      <x v="5"/>
    </i>
    <i r="1">
      <x v="12"/>
    </i>
    <i t="default">
      <x/>
    </i>
    <i>
      <x v="1"/>
      <x v="6"/>
    </i>
    <i r="1">
      <x v="7"/>
    </i>
    <i r="1">
      <x v="8"/>
    </i>
    <i r="1">
      <x v="9"/>
    </i>
    <i t="default">
      <x v="1"/>
    </i>
    <i>
      <x v="2"/>
      <x v="10"/>
    </i>
    <i r="1">
      <x v="11"/>
    </i>
    <i t="default">
      <x v="2"/>
    </i>
    <i>
      <x v="4"/>
      <x v="15"/>
    </i>
    <i t="default">
      <x v="4"/>
    </i>
  </colItems>
  <dataFields count="8">
    <dataField name="Sum of OLD-Tot UG SCH Calc" fld="5" baseField="0" baseItem="0"/>
    <dataField name="Sum of NEW-Tot UG SCH Calc" fld="6" baseField="0" baseItem="0"/>
    <dataField name="Sum of Old UG E-Learning" fld="70" baseField="0" baseItem="0"/>
    <dataField name="Sum of New UG E-Learning" fld="72" baseField="0" baseItem="0"/>
    <dataField name="Sum of Old-Tot G SCH Calc" fld="19" baseField="0" baseItem="0"/>
    <dataField name="Sum of New-Tot G SCH Calc" fld="20" baseField="0" baseItem="0"/>
    <dataField name="Sum of Old G E-Learning" fld="71" baseField="0" baseItem="0"/>
    <dataField name="Sum of New G E-Learning" fld="73" baseField="0" baseItem="0"/>
  </dataFields>
  <formats count="171">
    <format dxfId="170">
      <pivotArea field="4" type="button" dataOnly="0" labelOnly="1" outline="0" axis="axisCol" fieldPosition="1"/>
    </format>
    <format dxfId="169">
      <pivotArea type="topRight" dataOnly="0" labelOnly="1" outline="0" fieldPosition="0"/>
    </format>
    <format dxfId="168">
      <pivotArea dataOnly="0" labelOnly="1" grandCol="1" outline="0" fieldPosition="0"/>
    </format>
    <format dxfId="167">
      <pivotArea dataOnly="0" labelOnly="1" outline="0" offset="IV256" fieldPosition="0">
        <references count="1">
          <reference field="0" count="1">
            <x v="3"/>
          </reference>
        </references>
      </pivotArea>
    </format>
    <format dxfId="166">
      <pivotArea dataOnly="0" labelOnly="1" outline="0" offset="IV256" fieldPosition="0">
        <references count="1">
          <reference field="0" count="1">
            <x v="4"/>
          </reference>
        </references>
      </pivotArea>
    </format>
    <format dxfId="165">
      <pivotArea dataOnly="0" labelOnly="1" outline="0" offset="IV256" fieldPosition="0">
        <references count="1">
          <reference field="0" count="1">
            <x v="5"/>
          </reference>
        </references>
      </pivotArea>
    </format>
    <format dxfId="164">
      <pivotArea dataOnly="0" labelOnly="1" outline="0" offset="IV256" fieldPosition="0">
        <references count="1">
          <reference field="0" count="1">
            <x v="7"/>
          </reference>
        </references>
      </pivotArea>
    </format>
    <format dxfId="163">
      <pivotArea dataOnly="0" labelOnly="1" outline="0" offset="IV256" fieldPosition="0">
        <references count="1">
          <reference field="0" count="1">
            <x v="8"/>
          </reference>
        </references>
      </pivotArea>
    </format>
    <format dxfId="162">
      <pivotArea dataOnly="0" labelOnly="1" outline="0" offset="IV256" fieldPosition="0">
        <references count="1">
          <reference field="0" count="1">
            <x v="9"/>
          </reference>
        </references>
      </pivotArea>
    </format>
    <format dxfId="161">
      <pivotArea dataOnly="0" labelOnly="1" outline="0" offset="IV256" fieldPosition="0">
        <references count="1">
          <reference field="0" count="1">
            <x v="10"/>
          </reference>
        </references>
      </pivotArea>
    </format>
    <format dxfId="160">
      <pivotArea dataOnly="0" labelOnly="1" outline="0" offset="IV256" fieldPosition="0">
        <references count="1">
          <reference field="0" count="1">
            <x v="11"/>
          </reference>
        </references>
      </pivotArea>
    </format>
    <format dxfId="159">
      <pivotArea dataOnly="0" labelOnly="1" outline="0" offset="IV256" fieldPosition="0">
        <references count="1">
          <reference field="0" count="1">
            <x v="12"/>
          </reference>
        </references>
      </pivotArea>
    </format>
    <format dxfId="158">
      <pivotArea dataOnly="0" labelOnly="1" outline="0" offset="IV256" fieldPosition="0">
        <references count="1">
          <reference field="0" count="1">
            <x v="13"/>
          </reference>
        </references>
      </pivotArea>
    </format>
    <format dxfId="157">
      <pivotArea type="origin" dataOnly="0" labelOnly="1" outline="0" offset="A2:B2" fieldPosition="0"/>
    </format>
    <format dxfId="156">
      <pivotArea dataOnly="0" labelOnly="1" outline="0" fieldPosition="0">
        <references count="1">
          <reference field="0" count="0"/>
        </references>
      </pivotArea>
    </format>
    <format dxfId="155">
      <pivotArea dataOnly="0" labelOnly="1" outline="0" offset="IV1" fieldPosition="0">
        <references count="1">
          <reference field="0" count="1">
            <x v="0"/>
          </reference>
        </references>
      </pivotArea>
    </format>
    <format dxfId="154">
      <pivotArea type="origin" dataOnly="0" labelOnly="1" outline="0" fieldPosition="0"/>
    </format>
    <format dxfId="153">
      <pivotArea field="0" type="button" dataOnly="0" labelOnly="1" outline="0" axis="axisRow" fieldPosition="0"/>
    </format>
    <format dxfId="152">
      <pivotArea dataOnly="0" labelOnly="1" outline="0" offset="IV5:IV6" fieldPosition="0">
        <references count="1">
          <reference field="0" count="1">
            <x v="1"/>
          </reference>
        </references>
      </pivotArea>
    </format>
    <format dxfId="151">
      <pivotArea dataOnly="0" labelOnly="1" outline="0" offset="IV7:IV8" fieldPosition="0">
        <references count="1">
          <reference field="0" count="1">
            <x v="1"/>
          </reference>
        </references>
      </pivotArea>
    </format>
    <format dxfId="150">
      <pivotArea dataOnly="0" labelOnly="1" outline="0" offset="IV9:IV10" fieldPosition="0">
        <references count="1">
          <reference field="0" count="1">
            <x v="1"/>
          </reference>
        </references>
      </pivotArea>
    </format>
    <format dxfId="149">
      <pivotArea dataOnly="0" labelOnly="1" outline="0" offset="IV11:IV12" fieldPosition="0">
        <references count="1">
          <reference field="0" count="1">
            <x v="1"/>
          </reference>
        </references>
      </pivotArea>
    </format>
    <format dxfId="148">
      <pivotArea dataOnly="0" labelOnly="1" outline="0" offset="IV256" fieldPosition="0">
        <references count="1">
          <reference field="0" count="1">
            <x v="0"/>
          </reference>
        </references>
      </pivotArea>
    </format>
    <format dxfId="147">
      <pivotArea dataOnly="0" labelOnly="1" grandCol="1" outline="0" offset="IV256" fieldPosition="0"/>
    </format>
    <format dxfId="146">
      <pivotArea dataOnly="0" labelOnly="1" outline="0" offset="IV256" fieldPosition="0">
        <references count="1">
          <reference field="0" count="1">
            <x v="1"/>
          </reference>
        </references>
      </pivotArea>
    </format>
    <format dxfId="145">
      <pivotArea dataOnly="0" labelOnly="1" outline="0" offset="IV1" fieldPosition="0">
        <references count="1">
          <reference field="0" count="1">
            <x v="0"/>
          </reference>
        </references>
      </pivotArea>
    </format>
    <format dxfId="144">
      <pivotArea dataOnly="0" labelOnly="1" outline="0" offset="IV1" fieldPosition="0">
        <references count="1">
          <reference field="0" count="1">
            <x v="1"/>
          </reference>
        </references>
      </pivotArea>
    </format>
    <format dxfId="143">
      <pivotArea dataOnly="0" labelOnly="1" outline="0" offset="IV1" fieldPosition="0">
        <references count="1">
          <reference field="0" count="1">
            <x v="3"/>
          </reference>
        </references>
      </pivotArea>
    </format>
    <format dxfId="142">
      <pivotArea dataOnly="0" labelOnly="1" outline="0" offset="IV1" fieldPosition="0">
        <references count="1">
          <reference field="0" count="1">
            <x v="4"/>
          </reference>
        </references>
      </pivotArea>
    </format>
    <format dxfId="141">
      <pivotArea dataOnly="0" labelOnly="1" outline="0" offset="IV256" fieldPosition="0">
        <references count="1">
          <reference field="0" count="1">
            <x v="15"/>
          </reference>
        </references>
      </pivotArea>
    </format>
    <format dxfId="140">
      <pivotArea outline="0" fieldPosition="0">
        <references count="1">
          <reference field="0" count="1" selected="0">
            <x v="0"/>
          </reference>
        </references>
      </pivotArea>
    </format>
    <format dxfId="139">
      <pivotArea dataOnly="0" labelOnly="1" outline="0" fieldPosition="0">
        <references count="1">
          <reference field="0" count="1">
            <x v="0"/>
          </reference>
        </references>
      </pivotArea>
    </format>
    <format dxfId="138">
      <pivotArea dataOnly="0" labelOnly="1" outline="0" fieldPosition="0">
        <references count="2">
          <reference field="4294967294" count="0"/>
          <reference field="0" count="1" selected="0">
            <x v="0"/>
          </reference>
        </references>
      </pivotArea>
    </format>
    <format dxfId="137">
      <pivotArea type="all" dataOnly="0" outline="0" fieldPosition="0"/>
    </format>
    <format dxfId="136">
      <pivotArea outline="0" fieldPosition="0"/>
    </format>
    <format dxfId="135">
      <pivotArea outline="0" fieldPosition="0">
        <references count="3">
          <reference field="4294967294" count="1" selected="0">
            <x v="0"/>
          </reference>
          <reference field="0" count="1" selected="0">
            <x v="0"/>
          </reference>
          <reference field="33" count="2" selected="0" defaultSubtotal="1">
            <x v="0"/>
            <x v="1"/>
          </reference>
        </references>
      </pivotArea>
    </format>
    <format dxfId="134">
      <pivotArea outline="0" fieldPosition="0">
        <references count="3">
          <reference field="4294967294" count="1" selected="0">
            <x v="0"/>
          </reference>
          <reference field="0" count="1" selected="0">
            <x v="1"/>
          </reference>
          <reference field="33" count="2" selected="0" defaultSubtotal="1">
            <x v="0"/>
            <x v="1"/>
          </reference>
        </references>
      </pivotArea>
    </format>
    <format dxfId="133">
      <pivotArea outline="0" fieldPosition="0">
        <references count="3">
          <reference field="4294967294" count="1" selected="0">
            <x v="0"/>
          </reference>
          <reference field="0" count="1" selected="0">
            <x v="3"/>
          </reference>
          <reference field="33" count="2" selected="0" defaultSubtotal="1">
            <x v="0"/>
            <x v="1"/>
          </reference>
        </references>
      </pivotArea>
    </format>
    <format dxfId="132">
      <pivotArea outline="0" fieldPosition="0">
        <references count="2">
          <reference field="4294967294" count="1" selected="0">
            <x v="0"/>
          </reference>
          <reference field="0" count="1" selected="0">
            <x v="4"/>
          </reference>
        </references>
      </pivotArea>
    </format>
    <format dxfId="131">
      <pivotArea outline="0" fieldPosition="0">
        <references count="2">
          <reference field="4294967294" count="1" selected="0">
            <x v="0"/>
          </reference>
          <reference field="0" count="1" selected="0">
            <x v="5"/>
          </reference>
        </references>
      </pivotArea>
    </format>
    <format dxfId="130">
      <pivotArea outline="0" fieldPosition="0">
        <references count="2">
          <reference field="4294967294" count="1" selected="0">
            <x v="0"/>
          </reference>
          <reference field="0" count="1" selected="0">
            <x v="7"/>
          </reference>
        </references>
      </pivotArea>
    </format>
    <format dxfId="129">
      <pivotArea outline="0" fieldPosition="0">
        <references count="3">
          <reference field="4294967294" count="1" selected="0">
            <x v="0"/>
          </reference>
          <reference field="0" count="1" selected="0">
            <x v="8"/>
          </reference>
          <reference field="33" count="2" selected="0" defaultSubtotal="1">
            <x v="0"/>
            <x v="1"/>
          </reference>
        </references>
      </pivotArea>
    </format>
    <format dxfId="128">
      <pivotArea outline="0" fieldPosition="0">
        <references count="3">
          <reference field="4294967294" count="1" selected="0">
            <x v="0"/>
          </reference>
          <reference field="0" count="1" selected="0">
            <x v="9"/>
          </reference>
          <reference field="33" count="2" selected="0" defaultSubtotal="1">
            <x v="0"/>
            <x v="1"/>
          </reference>
        </references>
      </pivotArea>
    </format>
    <format dxfId="127">
      <pivotArea outline="0" fieldPosition="0">
        <references count="3">
          <reference field="4294967294" count="1" selected="0">
            <x v="0"/>
          </reference>
          <reference field="0" count="1" selected="0">
            <x v="10"/>
          </reference>
          <reference field="33" count="2" selected="0" defaultSubtotal="1">
            <x v="0"/>
            <x v="1"/>
          </reference>
        </references>
      </pivotArea>
    </format>
    <format dxfId="126">
      <pivotArea outline="0" fieldPosition="0">
        <references count="3">
          <reference field="4294967294" count="1" selected="0">
            <x v="0"/>
          </reference>
          <reference field="0" count="1" selected="0">
            <x v="13"/>
          </reference>
          <reference field="33" count="2" selected="0" defaultSubtotal="1">
            <x v="0"/>
            <x v="1"/>
          </reference>
        </references>
      </pivotArea>
    </format>
    <format dxfId="125">
      <pivotArea outline="0" fieldPosition="0">
        <references count="3">
          <reference field="4294967294" count="1" selected="0">
            <x v="0"/>
          </reference>
          <reference field="0" count="1" selected="0">
            <x v="15"/>
          </reference>
          <reference field="33" count="2" selected="0" defaultSubtotal="1">
            <x v="0"/>
            <x v="1"/>
          </reference>
        </references>
      </pivotArea>
    </format>
    <format dxfId="124">
      <pivotArea outline="0" fieldPosition="0">
        <references count="3">
          <reference field="4294967294" count="1" selected="0">
            <x v="1"/>
          </reference>
          <reference field="0" count="1" selected="0">
            <x v="0"/>
          </reference>
          <reference field="33" count="2" selected="0" defaultSubtotal="1">
            <x v="0"/>
            <x v="1"/>
          </reference>
        </references>
      </pivotArea>
    </format>
    <format dxfId="123">
      <pivotArea outline="0" fieldPosition="0">
        <references count="3">
          <reference field="4294967294" count="1" selected="0">
            <x v="1"/>
          </reference>
          <reference field="0" count="1" selected="0">
            <x v="1"/>
          </reference>
          <reference field="33" count="2" selected="0" defaultSubtotal="1">
            <x v="0"/>
            <x v="1"/>
          </reference>
        </references>
      </pivotArea>
    </format>
    <format dxfId="122">
      <pivotArea outline="0" fieldPosition="0">
        <references count="3">
          <reference field="4294967294" count="1" selected="0">
            <x v="1"/>
          </reference>
          <reference field="0" count="1" selected="0">
            <x v="3"/>
          </reference>
          <reference field="33" count="2" selected="0" defaultSubtotal="1">
            <x v="0"/>
            <x v="1"/>
          </reference>
        </references>
      </pivotArea>
    </format>
    <format dxfId="121">
      <pivotArea outline="0" fieldPosition="0">
        <references count="2">
          <reference field="4294967294" count="1" selected="0">
            <x v="1"/>
          </reference>
          <reference field="0" count="1" selected="0">
            <x v="4"/>
          </reference>
        </references>
      </pivotArea>
    </format>
    <format dxfId="120">
      <pivotArea outline="0" fieldPosition="0">
        <references count="2">
          <reference field="4294967294" count="1" selected="0">
            <x v="1"/>
          </reference>
          <reference field="0" count="1" selected="0">
            <x v="5"/>
          </reference>
        </references>
      </pivotArea>
    </format>
    <format dxfId="119">
      <pivotArea outline="0" fieldPosition="0">
        <references count="3">
          <reference field="4294967294" count="1" selected="0">
            <x v="1"/>
          </reference>
          <reference field="0" count="1" selected="0">
            <x v="7"/>
          </reference>
          <reference field="33" count="2" selected="0" defaultSubtotal="1">
            <x v="0"/>
            <x v="1"/>
          </reference>
        </references>
      </pivotArea>
    </format>
    <format dxfId="118">
      <pivotArea outline="0" fieldPosition="0">
        <references count="3">
          <reference field="4294967294" count="1" selected="0">
            <x v="1"/>
          </reference>
          <reference field="0" count="1" selected="0">
            <x v="8"/>
          </reference>
          <reference field="33" count="2" selected="0" defaultSubtotal="1">
            <x v="0"/>
            <x v="1"/>
          </reference>
        </references>
      </pivotArea>
    </format>
    <format dxfId="117">
      <pivotArea outline="0" fieldPosition="0">
        <references count="3">
          <reference field="4294967294" count="1" selected="0">
            <x v="1"/>
          </reference>
          <reference field="0" count="1" selected="0">
            <x v="9"/>
          </reference>
          <reference field="33" count="2" selected="0" defaultSubtotal="1">
            <x v="0"/>
            <x v="1"/>
          </reference>
        </references>
      </pivotArea>
    </format>
    <format dxfId="116">
      <pivotArea outline="0" fieldPosition="0">
        <references count="3">
          <reference field="4294967294" count="1" selected="0">
            <x v="1"/>
          </reference>
          <reference field="0" count="1" selected="0">
            <x v="10"/>
          </reference>
          <reference field="33" count="2" selected="0" defaultSubtotal="1">
            <x v="0"/>
            <x v="1"/>
          </reference>
        </references>
      </pivotArea>
    </format>
    <format dxfId="115">
      <pivotArea outline="0" fieldPosition="0">
        <references count="3">
          <reference field="4294967294" count="1" selected="0">
            <x v="1"/>
          </reference>
          <reference field="0" count="1" selected="0">
            <x v="13"/>
          </reference>
          <reference field="33" count="2" selected="0" defaultSubtotal="1">
            <x v="0"/>
            <x v="1"/>
          </reference>
        </references>
      </pivotArea>
    </format>
    <format dxfId="114">
      <pivotArea outline="0" fieldPosition="0">
        <references count="3">
          <reference field="4294967294" count="1" selected="0">
            <x v="1"/>
          </reference>
          <reference field="0" count="1" selected="0">
            <x v="15"/>
          </reference>
          <reference field="33" count="2" selected="0" defaultSubtotal="1">
            <x v="0"/>
            <x v="1"/>
          </reference>
        </references>
      </pivotArea>
    </format>
    <format dxfId="113">
      <pivotArea outline="0" fieldPosition="0">
        <references count="3">
          <reference field="4294967294" count="1" selected="0">
            <x v="4"/>
          </reference>
          <reference field="0" count="1" selected="0">
            <x v="0"/>
          </reference>
          <reference field="33" count="2" selected="0" defaultSubtotal="1">
            <x v="0"/>
            <x v="1"/>
          </reference>
        </references>
      </pivotArea>
    </format>
    <format dxfId="112">
      <pivotArea outline="0" fieldPosition="0">
        <references count="3">
          <reference field="4294967294" count="1" selected="0">
            <x v="4"/>
          </reference>
          <reference field="0" count="1" selected="0">
            <x v="1"/>
          </reference>
          <reference field="33" count="1" selected="0" defaultSubtotal="1">
            <x v="0"/>
          </reference>
        </references>
      </pivotArea>
    </format>
    <format dxfId="111">
      <pivotArea outline="0" fieldPosition="0">
        <references count="3">
          <reference field="4294967294" count="1" selected="0">
            <x v="4"/>
          </reference>
          <reference field="0" count="1" selected="0">
            <x v="3"/>
          </reference>
          <reference field="33" count="1" selected="0" defaultSubtotal="1">
            <x v="0"/>
          </reference>
        </references>
      </pivotArea>
    </format>
    <format dxfId="110">
      <pivotArea outline="0" fieldPosition="0">
        <references count="3">
          <reference field="4294967294" count="1" selected="0">
            <x v="4"/>
          </reference>
          <reference field="0" count="1" selected="0">
            <x v="4"/>
          </reference>
          <reference field="33" count="1" selected="0" defaultSubtotal="1">
            <x v="0"/>
          </reference>
        </references>
      </pivotArea>
    </format>
    <format dxfId="109">
      <pivotArea outline="0" fieldPosition="0">
        <references count="3">
          <reference field="4294967294" count="1" selected="0">
            <x v="4"/>
          </reference>
          <reference field="0" count="1" selected="0">
            <x v="5"/>
          </reference>
          <reference field="33" count="1" selected="0" defaultSubtotal="1">
            <x v="0"/>
          </reference>
        </references>
      </pivotArea>
    </format>
    <format dxfId="108">
      <pivotArea outline="0" fieldPosition="0">
        <references count="3">
          <reference field="4294967294" count="1" selected="0">
            <x v="4"/>
          </reference>
          <reference field="0" count="1" selected="0">
            <x v="7"/>
          </reference>
          <reference field="33" count="1" selected="0" defaultSubtotal="1">
            <x v="0"/>
          </reference>
        </references>
      </pivotArea>
    </format>
    <format dxfId="107">
      <pivotArea outline="0" fieldPosition="0">
        <references count="3">
          <reference field="4294967294" count="1" selected="0">
            <x v="4"/>
          </reference>
          <reference field="0" count="1" selected="0">
            <x v="8"/>
          </reference>
          <reference field="33" count="1" selected="0" defaultSubtotal="1">
            <x v="0"/>
          </reference>
        </references>
      </pivotArea>
    </format>
    <format dxfId="106">
      <pivotArea outline="0" fieldPosition="0">
        <references count="3">
          <reference field="4294967294" count="1" selected="0">
            <x v="4"/>
          </reference>
          <reference field="0" count="1" selected="0">
            <x v="9"/>
          </reference>
          <reference field="33" count="1" selected="0" defaultSubtotal="1">
            <x v="0"/>
          </reference>
        </references>
      </pivotArea>
    </format>
    <format dxfId="105">
      <pivotArea outline="0" fieldPosition="0">
        <references count="3">
          <reference field="4294967294" count="1" selected="0">
            <x v="4"/>
          </reference>
          <reference field="0" count="1" selected="0">
            <x v="10"/>
          </reference>
          <reference field="33" count="1" selected="0" defaultSubtotal="1">
            <x v="0"/>
          </reference>
        </references>
      </pivotArea>
    </format>
    <format dxfId="104">
      <pivotArea outline="0" fieldPosition="0">
        <references count="3">
          <reference field="4294967294" count="1" selected="0">
            <x v="4"/>
          </reference>
          <reference field="0" count="1" selected="0">
            <x v="13"/>
          </reference>
          <reference field="33" count="1" selected="0" defaultSubtotal="1">
            <x v="0"/>
          </reference>
        </references>
      </pivotArea>
    </format>
    <format dxfId="103">
      <pivotArea outline="0" fieldPosition="0">
        <references count="3">
          <reference field="4294967294" count="1" selected="0">
            <x v="4"/>
          </reference>
          <reference field="0" count="1" selected="0">
            <x v="15"/>
          </reference>
          <reference field="33" count="1" selected="0" defaultSubtotal="1">
            <x v="0"/>
          </reference>
        </references>
      </pivotArea>
    </format>
    <format dxfId="102">
      <pivotArea outline="0" fieldPosition="0">
        <references count="3">
          <reference field="4294967294" count="1" selected="0">
            <x v="5"/>
          </reference>
          <reference field="0" count="1" selected="0">
            <x v="15"/>
          </reference>
          <reference field="33" count="1" selected="0" defaultSubtotal="1">
            <x v="0"/>
          </reference>
        </references>
      </pivotArea>
    </format>
    <format dxfId="101">
      <pivotArea outline="0" fieldPosition="0">
        <references count="3">
          <reference field="4294967294" count="1" selected="0">
            <x v="5"/>
          </reference>
          <reference field="0" count="1" selected="0">
            <x v="13"/>
          </reference>
          <reference field="33" count="1" selected="0" defaultSubtotal="1">
            <x v="0"/>
          </reference>
        </references>
      </pivotArea>
    </format>
    <format dxfId="100">
      <pivotArea outline="0" fieldPosition="0">
        <references count="3">
          <reference field="4294967294" count="1" selected="0">
            <x v="5"/>
          </reference>
          <reference field="0" count="1" selected="0">
            <x v="10"/>
          </reference>
          <reference field="33" count="1" selected="0" defaultSubtotal="1">
            <x v="0"/>
          </reference>
        </references>
      </pivotArea>
    </format>
    <format dxfId="99">
      <pivotArea outline="0" fieldPosition="0">
        <references count="3">
          <reference field="4294967294" count="1" selected="0">
            <x v="5"/>
          </reference>
          <reference field="0" count="1" selected="0">
            <x v="9"/>
          </reference>
          <reference field="33" count="1" selected="0" defaultSubtotal="1">
            <x v="0"/>
          </reference>
        </references>
      </pivotArea>
    </format>
    <format dxfId="98">
      <pivotArea outline="0" fieldPosition="0">
        <references count="3">
          <reference field="4294967294" count="1" selected="0">
            <x v="5"/>
          </reference>
          <reference field="0" count="1" selected="0">
            <x v="8"/>
          </reference>
          <reference field="33" count="1" selected="0" defaultSubtotal="1">
            <x v="0"/>
          </reference>
        </references>
      </pivotArea>
    </format>
    <format dxfId="97">
      <pivotArea outline="0" fieldPosition="0">
        <references count="3">
          <reference field="4294967294" count="1" selected="0">
            <x v="5"/>
          </reference>
          <reference field="0" count="1" selected="0">
            <x v="7"/>
          </reference>
          <reference field="33" count="1" selected="0" defaultSubtotal="1">
            <x v="0"/>
          </reference>
        </references>
      </pivotArea>
    </format>
    <format dxfId="96">
      <pivotArea outline="0" fieldPosition="0">
        <references count="3">
          <reference field="4294967294" count="1" selected="0">
            <x v="5"/>
          </reference>
          <reference field="0" count="1" selected="0">
            <x v="5"/>
          </reference>
          <reference field="33" count="1" selected="0" defaultSubtotal="1">
            <x v="0"/>
          </reference>
        </references>
      </pivotArea>
    </format>
    <format dxfId="95">
      <pivotArea outline="0" fieldPosition="0">
        <references count="3">
          <reference field="4294967294" count="1" selected="0">
            <x v="5"/>
          </reference>
          <reference field="0" count="1" selected="0">
            <x v="4"/>
          </reference>
          <reference field="33" count="1" selected="0" defaultSubtotal="1">
            <x v="0"/>
          </reference>
        </references>
      </pivotArea>
    </format>
    <format dxfId="94">
      <pivotArea outline="0" fieldPosition="0">
        <references count="3">
          <reference field="4294967294" count="1" selected="0">
            <x v="5"/>
          </reference>
          <reference field="0" count="1" selected="0">
            <x v="3"/>
          </reference>
          <reference field="33" count="1" selected="0" defaultSubtotal="1">
            <x v="0"/>
          </reference>
        </references>
      </pivotArea>
    </format>
    <format dxfId="93">
      <pivotArea outline="0" fieldPosition="0">
        <references count="3">
          <reference field="4294967294" count="1" selected="0">
            <x v="5"/>
          </reference>
          <reference field="0" count="1" selected="0">
            <x v="1"/>
          </reference>
          <reference field="33" count="1" selected="0" defaultSubtotal="1">
            <x v="0"/>
          </reference>
        </references>
      </pivotArea>
    </format>
    <format dxfId="92">
      <pivotArea outline="0" fieldPosition="0">
        <references count="3">
          <reference field="4294967294" count="1" selected="0">
            <x v="5"/>
          </reference>
          <reference field="0" count="1" selected="0">
            <x v="0"/>
          </reference>
          <reference field="33" count="1" selected="0" defaultSubtotal="1">
            <x v="0"/>
          </reference>
        </references>
      </pivotArea>
    </format>
    <format dxfId="91">
      <pivotArea outline="0" fieldPosition="0">
        <references count="3">
          <reference field="4294967294" count="1" selected="0">
            <x v="2"/>
          </reference>
          <reference field="0" count="1" selected="0">
            <x v="0"/>
          </reference>
          <reference field="33" count="2" selected="0" defaultSubtotal="1">
            <x v="0"/>
            <x v="1"/>
          </reference>
        </references>
      </pivotArea>
    </format>
    <format dxfId="90">
      <pivotArea outline="0" fieldPosition="0">
        <references count="3">
          <reference field="4294967294" count="1" selected="0">
            <x v="2"/>
          </reference>
          <reference field="0" count="1" selected="0">
            <x v="1"/>
          </reference>
          <reference field="33" count="2" selected="0" defaultSubtotal="1">
            <x v="0"/>
            <x v="1"/>
          </reference>
        </references>
      </pivotArea>
    </format>
    <format dxfId="89">
      <pivotArea outline="0" fieldPosition="0">
        <references count="3">
          <reference field="4294967294" count="1" selected="0">
            <x v="2"/>
          </reference>
          <reference field="0" count="1" selected="0">
            <x v="3"/>
          </reference>
          <reference field="33" count="2" selected="0" defaultSubtotal="1">
            <x v="0"/>
            <x v="1"/>
          </reference>
        </references>
      </pivotArea>
    </format>
    <format dxfId="88">
      <pivotArea outline="0" fieldPosition="0">
        <references count="2">
          <reference field="4294967294" count="1" selected="0">
            <x v="2"/>
          </reference>
          <reference field="0" count="1" selected="0">
            <x v="4"/>
          </reference>
        </references>
      </pivotArea>
    </format>
    <format dxfId="87">
      <pivotArea outline="0" fieldPosition="0">
        <references count="2">
          <reference field="4294967294" count="1" selected="0">
            <x v="2"/>
          </reference>
          <reference field="0" count="1" selected="0">
            <x v="5"/>
          </reference>
        </references>
      </pivotArea>
    </format>
    <format dxfId="86">
      <pivotArea outline="0" fieldPosition="0">
        <references count="2">
          <reference field="4294967294" count="1" selected="0">
            <x v="2"/>
          </reference>
          <reference field="0" count="1" selected="0">
            <x v="7"/>
          </reference>
        </references>
      </pivotArea>
    </format>
    <format dxfId="85">
      <pivotArea outline="0" fieldPosition="0">
        <references count="3">
          <reference field="4294967294" count="1" selected="0">
            <x v="2"/>
          </reference>
          <reference field="0" count="1" selected="0">
            <x v="8"/>
          </reference>
          <reference field="33" count="2" selected="0" defaultSubtotal="1">
            <x v="0"/>
            <x v="1"/>
          </reference>
        </references>
      </pivotArea>
    </format>
    <format dxfId="84">
      <pivotArea outline="0" fieldPosition="0">
        <references count="3">
          <reference field="4294967294" count="1" selected="0">
            <x v="2"/>
          </reference>
          <reference field="0" count="1" selected="0">
            <x v="9"/>
          </reference>
          <reference field="33" count="2" selected="0" defaultSubtotal="1">
            <x v="0"/>
            <x v="1"/>
          </reference>
        </references>
      </pivotArea>
    </format>
    <format dxfId="83">
      <pivotArea outline="0" fieldPosition="0">
        <references count="3">
          <reference field="4294967294" count="1" selected="0">
            <x v="2"/>
          </reference>
          <reference field="0" count="1" selected="0">
            <x v="10"/>
          </reference>
          <reference field="33" count="2" selected="0" defaultSubtotal="1">
            <x v="0"/>
            <x v="1"/>
          </reference>
        </references>
      </pivotArea>
    </format>
    <format dxfId="82">
      <pivotArea outline="0" fieldPosition="0">
        <references count="3">
          <reference field="4294967294" count="1" selected="0">
            <x v="2"/>
          </reference>
          <reference field="0" count="1" selected="0">
            <x v="13"/>
          </reference>
          <reference field="33" count="2" selected="0" defaultSubtotal="1">
            <x v="0"/>
            <x v="1"/>
          </reference>
        </references>
      </pivotArea>
    </format>
    <format dxfId="81">
      <pivotArea outline="0" fieldPosition="0">
        <references count="3">
          <reference field="4294967294" count="1" selected="0">
            <x v="2"/>
          </reference>
          <reference field="0" count="1" selected="0">
            <x v="15"/>
          </reference>
          <reference field="33" count="2" selected="0" defaultSubtotal="1">
            <x v="0"/>
            <x v="1"/>
          </reference>
        </references>
      </pivotArea>
    </format>
    <format dxfId="80">
      <pivotArea outline="0" fieldPosition="0">
        <references count="3">
          <reference field="4294967294" count="1" selected="0">
            <x v="3"/>
          </reference>
          <reference field="0" count="1" selected="0">
            <x v="15"/>
          </reference>
          <reference field="33" count="2" selected="0" defaultSubtotal="1">
            <x v="0"/>
            <x v="1"/>
          </reference>
        </references>
      </pivotArea>
    </format>
    <format dxfId="79">
      <pivotArea outline="0" fieldPosition="0">
        <references count="3">
          <reference field="4294967294" count="1" selected="0">
            <x v="3"/>
          </reference>
          <reference field="0" count="1" selected="0">
            <x v="13"/>
          </reference>
          <reference field="33" count="2" selected="0" defaultSubtotal="1">
            <x v="0"/>
            <x v="1"/>
          </reference>
        </references>
      </pivotArea>
    </format>
    <format dxfId="78">
      <pivotArea outline="0" fieldPosition="0">
        <references count="3">
          <reference field="4294967294" count="1" selected="0">
            <x v="3"/>
          </reference>
          <reference field="0" count="1" selected="0">
            <x v="10"/>
          </reference>
          <reference field="33" count="2" selected="0" defaultSubtotal="1">
            <x v="0"/>
            <x v="1"/>
          </reference>
        </references>
      </pivotArea>
    </format>
    <format dxfId="77">
      <pivotArea outline="0" fieldPosition="0">
        <references count="3">
          <reference field="4294967294" count="1" selected="0">
            <x v="3"/>
          </reference>
          <reference field="0" count="1" selected="0">
            <x v="9"/>
          </reference>
          <reference field="33" count="2" selected="0" defaultSubtotal="1">
            <x v="0"/>
            <x v="1"/>
          </reference>
        </references>
      </pivotArea>
    </format>
    <format dxfId="76">
      <pivotArea outline="0" fieldPosition="0">
        <references count="3">
          <reference field="4294967294" count="1" selected="0">
            <x v="3"/>
          </reference>
          <reference field="0" count="1" selected="0">
            <x v="8"/>
          </reference>
          <reference field="33" count="2" selected="0" defaultSubtotal="1">
            <x v="0"/>
            <x v="1"/>
          </reference>
        </references>
      </pivotArea>
    </format>
    <format dxfId="75">
      <pivotArea outline="0" fieldPosition="0">
        <references count="3">
          <reference field="4294967294" count="1" selected="0">
            <x v="3"/>
          </reference>
          <reference field="0" count="1" selected="0">
            <x v="7"/>
          </reference>
          <reference field="33" count="2" selected="0" defaultSubtotal="1">
            <x v="0"/>
            <x v="1"/>
          </reference>
        </references>
      </pivotArea>
    </format>
    <format dxfId="74">
      <pivotArea outline="0" fieldPosition="0">
        <references count="2">
          <reference field="4294967294" count="1" selected="0">
            <x v="3"/>
          </reference>
          <reference field="0" count="1" selected="0">
            <x v="5"/>
          </reference>
        </references>
      </pivotArea>
    </format>
    <format dxfId="73">
      <pivotArea outline="0" fieldPosition="0">
        <references count="2">
          <reference field="4294967294" count="1" selected="0">
            <x v="3"/>
          </reference>
          <reference field="0" count="1" selected="0">
            <x v="4"/>
          </reference>
        </references>
      </pivotArea>
    </format>
    <format dxfId="72">
      <pivotArea outline="0" fieldPosition="0">
        <references count="3">
          <reference field="4294967294" count="1" selected="0">
            <x v="3"/>
          </reference>
          <reference field="0" count="1" selected="0">
            <x v="3"/>
          </reference>
          <reference field="33" count="2" selected="0" defaultSubtotal="1">
            <x v="0"/>
            <x v="1"/>
          </reference>
        </references>
      </pivotArea>
    </format>
    <format dxfId="71">
      <pivotArea outline="0" fieldPosition="0">
        <references count="3">
          <reference field="4294967294" count="1" selected="0">
            <x v="3"/>
          </reference>
          <reference field="0" count="1" selected="0">
            <x v="1"/>
          </reference>
          <reference field="33" count="2" selected="0" defaultSubtotal="1">
            <x v="0"/>
            <x v="1"/>
          </reference>
        </references>
      </pivotArea>
    </format>
    <format dxfId="70">
      <pivotArea outline="0" fieldPosition="0">
        <references count="3">
          <reference field="4294967294" count="1" selected="0">
            <x v="3"/>
          </reference>
          <reference field="0" count="1" selected="0">
            <x v="0"/>
          </reference>
          <reference field="33" count="2" selected="0" defaultSubtotal="1">
            <x v="0"/>
            <x v="1"/>
          </reference>
        </references>
      </pivotArea>
    </format>
    <format dxfId="69">
      <pivotArea outline="0" fieldPosition="0">
        <references count="3">
          <reference field="4294967294" count="1" selected="0">
            <x v="6"/>
          </reference>
          <reference field="0" count="1" selected="0">
            <x v="0"/>
          </reference>
          <reference field="33" count="1" selected="0" defaultSubtotal="1">
            <x v="0"/>
          </reference>
        </references>
      </pivotArea>
    </format>
    <format dxfId="68">
      <pivotArea outline="0" fieldPosition="0">
        <references count="3">
          <reference field="4294967294" count="1" selected="0">
            <x v="6"/>
          </reference>
          <reference field="0" count="1" selected="0">
            <x v="1"/>
          </reference>
          <reference field="33" count="1" selected="0" defaultSubtotal="1">
            <x v="0"/>
          </reference>
        </references>
      </pivotArea>
    </format>
    <format dxfId="67">
      <pivotArea outline="0" fieldPosition="0">
        <references count="3">
          <reference field="4294967294" count="1" selected="0">
            <x v="6"/>
          </reference>
          <reference field="0" count="1" selected="0">
            <x v="3"/>
          </reference>
          <reference field="33" count="1" selected="0" defaultSubtotal="1">
            <x v="0"/>
          </reference>
        </references>
      </pivotArea>
    </format>
    <format dxfId="66">
      <pivotArea outline="0" fieldPosition="0">
        <references count="3">
          <reference field="4294967294" count="1" selected="0">
            <x v="6"/>
          </reference>
          <reference field="0" count="1" selected="0">
            <x v="4"/>
          </reference>
          <reference field="33" count="1" selected="0" defaultSubtotal="1">
            <x v="0"/>
          </reference>
        </references>
      </pivotArea>
    </format>
    <format dxfId="65">
      <pivotArea outline="0" fieldPosition="0">
        <references count="3">
          <reference field="4294967294" count="1" selected="0">
            <x v="6"/>
          </reference>
          <reference field="0" count="1" selected="0">
            <x v="5"/>
          </reference>
          <reference field="33" count="1" selected="0" defaultSubtotal="1">
            <x v="0"/>
          </reference>
        </references>
      </pivotArea>
    </format>
    <format dxfId="64">
      <pivotArea outline="0" fieldPosition="0">
        <references count="3">
          <reference field="4294967294" count="1" selected="0">
            <x v="6"/>
          </reference>
          <reference field="0" count="1" selected="0">
            <x v="7"/>
          </reference>
          <reference field="33" count="1" selected="0" defaultSubtotal="1">
            <x v="0"/>
          </reference>
        </references>
      </pivotArea>
    </format>
    <format dxfId="63">
      <pivotArea outline="0" fieldPosition="0">
        <references count="3">
          <reference field="4294967294" count="1" selected="0">
            <x v="6"/>
          </reference>
          <reference field="0" count="1" selected="0">
            <x v="8"/>
          </reference>
          <reference field="33" count="1" selected="0" defaultSubtotal="1">
            <x v="0"/>
          </reference>
        </references>
      </pivotArea>
    </format>
    <format dxfId="62">
      <pivotArea outline="0" fieldPosition="0">
        <references count="3">
          <reference field="4294967294" count="1" selected="0">
            <x v="6"/>
          </reference>
          <reference field="0" count="1" selected="0">
            <x v="9"/>
          </reference>
          <reference field="33" count="1" selected="0" defaultSubtotal="1">
            <x v="0"/>
          </reference>
        </references>
      </pivotArea>
    </format>
    <format dxfId="61">
      <pivotArea outline="0" fieldPosition="0">
        <references count="3">
          <reference field="4294967294" count="1" selected="0">
            <x v="6"/>
          </reference>
          <reference field="0" count="1" selected="0">
            <x v="10"/>
          </reference>
          <reference field="33" count="1" selected="0" defaultSubtotal="1">
            <x v="0"/>
          </reference>
        </references>
      </pivotArea>
    </format>
    <format dxfId="60">
      <pivotArea outline="0" fieldPosition="0">
        <references count="3">
          <reference field="4294967294" count="1" selected="0">
            <x v="6"/>
          </reference>
          <reference field="0" count="1" selected="0">
            <x v="13"/>
          </reference>
          <reference field="33" count="1" selected="0" defaultSubtotal="1">
            <x v="0"/>
          </reference>
        </references>
      </pivotArea>
    </format>
    <format dxfId="59">
      <pivotArea outline="0" fieldPosition="0">
        <references count="3">
          <reference field="4294967294" count="1" selected="0">
            <x v="6"/>
          </reference>
          <reference field="0" count="1" selected="0">
            <x v="15"/>
          </reference>
          <reference field="33" count="1" selected="0" defaultSubtotal="1">
            <x v="0"/>
          </reference>
        </references>
      </pivotArea>
    </format>
    <format dxfId="58">
      <pivotArea outline="0" fieldPosition="0">
        <references count="1">
          <reference field="0" count="1" selected="0">
            <x v="0"/>
          </reference>
        </references>
      </pivotArea>
    </format>
    <format dxfId="57">
      <pivotArea dataOnly="0" labelOnly="1" outline="0" fieldPosition="0">
        <references count="1">
          <reference field="0" count="1">
            <x v="0"/>
          </reference>
        </references>
      </pivotArea>
    </format>
    <format dxfId="56">
      <pivotArea dataOnly="0" labelOnly="1" outline="0" fieldPosition="0">
        <references count="2">
          <reference field="4294967294" count="0"/>
          <reference field="0" count="1" selected="0">
            <x v="0"/>
          </reference>
        </references>
      </pivotArea>
    </format>
    <format dxfId="55">
      <pivotArea outline="0" fieldPosition="0">
        <references count="1">
          <reference field="0" count="1" selected="0">
            <x v="15"/>
          </reference>
        </references>
      </pivotArea>
    </format>
    <format dxfId="54">
      <pivotArea dataOnly="0" labelOnly="1" outline="0" fieldPosition="0">
        <references count="1">
          <reference field="0" count="1">
            <x v="15"/>
          </reference>
        </references>
      </pivotArea>
    </format>
    <format dxfId="53">
      <pivotArea dataOnly="0" labelOnly="1" outline="0" fieldPosition="0">
        <references count="2">
          <reference field="4294967294" count="0"/>
          <reference field="0" count="1" selected="0">
            <x v="15"/>
          </reference>
        </references>
      </pivotArea>
    </format>
    <format dxfId="52">
      <pivotArea outline="0" fieldPosition="0">
        <references count="1">
          <reference field="0" count="1" selected="0">
            <x v="12"/>
          </reference>
        </references>
      </pivotArea>
    </format>
    <format dxfId="51">
      <pivotArea dataOnly="0" labelOnly="1" outline="0" fieldPosition="0">
        <references count="1">
          <reference field="0" count="1">
            <x v="12"/>
          </reference>
        </references>
      </pivotArea>
    </format>
    <format dxfId="50">
      <pivotArea dataOnly="0" labelOnly="1" outline="0" fieldPosition="0">
        <references count="2">
          <reference field="4294967294" count="0"/>
          <reference field="0" count="1" selected="0">
            <x v="12"/>
          </reference>
        </references>
      </pivotArea>
    </format>
    <format dxfId="49">
      <pivotArea outline="0" fieldPosition="0">
        <references count="3">
          <reference field="4294967294" count="8" selected="0">
            <x v="0"/>
            <x v="1"/>
            <x v="2"/>
            <x v="3"/>
            <x v="4"/>
            <x v="5"/>
            <x v="6"/>
            <x v="7"/>
          </reference>
          <reference field="0" count="1" selected="0">
            <x v="0"/>
          </reference>
          <reference field="33" count="1" selected="0" defaultSubtotal="1">
            <x v="2"/>
          </reference>
        </references>
      </pivotArea>
    </format>
    <format dxfId="48">
      <pivotArea outline="0" fieldPosition="0">
        <references count="4">
          <reference field="4294967294" count="8" selected="0">
            <x v="0"/>
            <x v="1"/>
            <x v="2"/>
            <x v="3"/>
            <x v="4"/>
            <x v="5"/>
            <x v="6"/>
            <x v="7"/>
          </reference>
          <reference field="0" count="1" selected="0">
            <x v="0"/>
          </reference>
          <reference field="4" count="1" selected="0">
            <x v="10"/>
          </reference>
          <reference field="33" count="1" selected="0">
            <x v="2"/>
          </reference>
        </references>
      </pivotArea>
    </format>
    <format dxfId="47">
      <pivotArea outline="0" fieldPosition="0">
        <references count="3">
          <reference field="4294967294" count="1" selected="0">
            <x v="0"/>
          </reference>
          <reference field="0" count="1" selected="0">
            <x v="0"/>
          </reference>
          <reference field="33" count="1" selected="0" defaultSubtotal="1">
            <x v="0"/>
          </reference>
        </references>
      </pivotArea>
    </format>
    <format dxfId="46">
      <pivotArea outline="0" fieldPosition="0"/>
    </format>
    <format dxfId="45">
      <pivotArea field="-2" type="button" dataOnly="0" labelOnly="1" outline="0" axis="axisRow" fieldPosition="1"/>
    </format>
    <format dxfId="44">
      <pivotArea field="33" type="button" dataOnly="0" labelOnly="1" outline="0" axis="axisCol" fieldPosition="0"/>
    </format>
    <format dxfId="43">
      <pivotArea field="4" type="button" dataOnly="0" labelOnly="1" outline="0" axis="axisCol" fieldPosition="1"/>
    </format>
    <format dxfId="42">
      <pivotArea type="topRight" dataOnly="0" labelOnly="1" outline="0" fieldPosition="0"/>
    </format>
    <format dxfId="41">
      <pivotArea dataOnly="0" labelOnly="1" outline="0" fieldPosition="0">
        <references count="2">
          <reference field="4294967294" count="8">
            <x v="0"/>
            <x v="1"/>
            <x v="2"/>
            <x v="3"/>
            <x v="4"/>
            <x v="5"/>
            <x v="6"/>
            <x v="7"/>
          </reference>
          <reference field="0" count="1" selected="0">
            <x v="0"/>
          </reference>
        </references>
      </pivotArea>
    </format>
    <format dxfId="40">
      <pivotArea dataOnly="0" labelOnly="1" outline="0" fieldPosition="0">
        <references count="2">
          <reference field="4294967294" count="8">
            <x v="0"/>
            <x v="1"/>
            <x v="2"/>
            <x v="3"/>
            <x v="4"/>
            <x v="5"/>
            <x v="6"/>
            <x v="7"/>
          </reference>
          <reference field="0" count="1" selected="0">
            <x v="1"/>
          </reference>
        </references>
      </pivotArea>
    </format>
    <format dxfId="39">
      <pivotArea dataOnly="0" labelOnly="1" outline="0" fieldPosition="0">
        <references count="2">
          <reference field="4294967294" count="8">
            <x v="0"/>
            <x v="1"/>
            <x v="2"/>
            <x v="3"/>
            <x v="4"/>
            <x v="5"/>
            <x v="6"/>
            <x v="7"/>
          </reference>
          <reference field="0" count="1" selected="0">
            <x v="3"/>
          </reference>
        </references>
      </pivotArea>
    </format>
    <format dxfId="38">
      <pivotArea dataOnly="0" labelOnly="1" outline="0" fieldPosition="0">
        <references count="2">
          <reference field="4294967294" count="8">
            <x v="0"/>
            <x v="1"/>
            <x v="2"/>
            <x v="3"/>
            <x v="4"/>
            <x v="5"/>
            <x v="6"/>
            <x v="7"/>
          </reference>
          <reference field="0" count="1" selected="0">
            <x v="4"/>
          </reference>
        </references>
      </pivotArea>
    </format>
    <format dxfId="37">
      <pivotArea dataOnly="0" labelOnly="1" outline="0" fieldPosition="0">
        <references count="2">
          <reference field="4294967294" count="8">
            <x v="0"/>
            <x v="1"/>
            <x v="2"/>
            <x v="3"/>
            <x v="4"/>
            <x v="5"/>
            <x v="6"/>
            <x v="7"/>
          </reference>
          <reference field="0" count="1" selected="0">
            <x v="5"/>
          </reference>
        </references>
      </pivotArea>
    </format>
    <format dxfId="36">
      <pivotArea dataOnly="0" labelOnly="1" outline="0" fieldPosition="0">
        <references count="2">
          <reference field="4294967294" count="8">
            <x v="0"/>
            <x v="1"/>
            <x v="2"/>
            <x v="3"/>
            <x v="4"/>
            <x v="5"/>
            <x v="6"/>
            <x v="7"/>
          </reference>
          <reference field="0" count="1" selected="0">
            <x v="7"/>
          </reference>
        </references>
      </pivotArea>
    </format>
    <format dxfId="35">
      <pivotArea dataOnly="0" labelOnly="1" outline="0" fieldPosition="0">
        <references count="2">
          <reference field="4294967294" count="8">
            <x v="0"/>
            <x v="1"/>
            <x v="2"/>
            <x v="3"/>
            <x v="4"/>
            <x v="5"/>
            <x v="6"/>
            <x v="7"/>
          </reference>
          <reference field="0" count="1" selected="0">
            <x v="8"/>
          </reference>
        </references>
      </pivotArea>
    </format>
    <format dxfId="34">
      <pivotArea dataOnly="0" labelOnly="1" outline="0" fieldPosition="0">
        <references count="2">
          <reference field="4294967294" count="8">
            <x v="0"/>
            <x v="1"/>
            <x v="2"/>
            <x v="3"/>
            <x v="4"/>
            <x v="5"/>
            <x v="6"/>
            <x v="7"/>
          </reference>
          <reference field="0" count="1" selected="0">
            <x v="9"/>
          </reference>
        </references>
      </pivotArea>
    </format>
    <format dxfId="33">
      <pivotArea dataOnly="0" labelOnly="1" outline="0" fieldPosition="0">
        <references count="2">
          <reference field="4294967294" count="8">
            <x v="0"/>
            <x v="1"/>
            <x v="2"/>
            <x v="3"/>
            <x v="4"/>
            <x v="5"/>
            <x v="6"/>
            <x v="7"/>
          </reference>
          <reference field="0" count="1" selected="0">
            <x v="10"/>
          </reference>
        </references>
      </pivotArea>
    </format>
    <format dxfId="32">
      <pivotArea dataOnly="0" labelOnly="1" outline="0" fieldPosition="0">
        <references count="2">
          <reference field="4294967294" count="8">
            <x v="0"/>
            <x v="1"/>
            <x v="2"/>
            <x v="3"/>
            <x v="4"/>
            <x v="5"/>
            <x v="6"/>
            <x v="7"/>
          </reference>
          <reference field="0" count="1" selected="0">
            <x v="11"/>
          </reference>
        </references>
      </pivotArea>
    </format>
    <format dxfId="31">
      <pivotArea dataOnly="0" labelOnly="1" outline="0" fieldPosition="0">
        <references count="2">
          <reference field="4294967294" count="8">
            <x v="0"/>
            <x v="1"/>
            <x v="2"/>
            <x v="3"/>
            <x v="4"/>
            <x v="5"/>
            <x v="6"/>
            <x v="7"/>
          </reference>
          <reference field="0" count="1" selected="0">
            <x v="12"/>
          </reference>
        </references>
      </pivotArea>
    </format>
    <format dxfId="30">
      <pivotArea dataOnly="0" labelOnly="1" outline="0" fieldPosition="0">
        <references count="2">
          <reference field="4294967294" count="8">
            <x v="0"/>
            <x v="1"/>
            <x v="2"/>
            <x v="3"/>
            <x v="4"/>
            <x v="5"/>
            <x v="6"/>
            <x v="7"/>
          </reference>
          <reference field="0" count="1" selected="0">
            <x v="13"/>
          </reference>
        </references>
      </pivotArea>
    </format>
    <format dxfId="29">
      <pivotArea dataOnly="0" labelOnly="1" outline="0" fieldPosition="0">
        <references count="2">
          <reference field="4294967294" count="8">
            <x v="0"/>
            <x v="1"/>
            <x v="2"/>
            <x v="3"/>
            <x v="4"/>
            <x v="5"/>
            <x v="6"/>
            <x v="7"/>
          </reference>
          <reference field="0" count="1" selected="0">
            <x v="15"/>
          </reference>
        </references>
      </pivotArea>
    </format>
    <format dxfId="28">
      <pivotArea dataOnly="0" labelOnly="1" outline="0" fieldPosition="0">
        <references count="1">
          <reference field="33" count="0"/>
        </references>
      </pivotArea>
    </format>
    <format dxfId="27">
      <pivotArea dataOnly="0" labelOnly="1" outline="0" fieldPosition="0">
        <references count="1">
          <reference field="33" count="0" defaultSubtotal="1"/>
        </references>
      </pivotArea>
    </format>
    <format dxfId="26">
      <pivotArea dataOnly="0" labelOnly="1" outline="0" fieldPosition="0">
        <references count="2">
          <reference field="4" count="7">
            <x v="0"/>
            <x v="1"/>
            <x v="2"/>
            <x v="3"/>
            <x v="4"/>
            <x v="5"/>
            <x v="12"/>
          </reference>
          <reference field="33" count="1" selected="0">
            <x v="0"/>
          </reference>
        </references>
      </pivotArea>
    </format>
    <format dxfId="25">
      <pivotArea dataOnly="0" labelOnly="1" outline="0" fieldPosition="0">
        <references count="2">
          <reference field="4" count="4">
            <x v="6"/>
            <x v="7"/>
            <x v="8"/>
            <x v="9"/>
          </reference>
          <reference field="33" count="1" selected="0">
            <x v="1"/>
          </reference>
        </references>
      </pivotArea>
    </format>
    <format dxfId="24">
      <pivotArea dataOnly="0" labelOnly="1" outline="0" fieldPosition="0">
        <references count="2">
          <reference field="4" count="2">
            <x v="10"/>
            <x v="11"/>
          </reference>
          <reference field="33" count="1" selected="0">
            <x v="2"/>
          </reference>
        </references>
      </pivotArea>
    </format>
    <format dxfId="23">
      <pivotArea outline="0" fieldPosition="0"/>
    </format>
    <format dxfId="22">
      <pivotArea field="-2" type="button" dataOnly="0" labelOnly="1" outline="0" axis="axisRow" fieldPosition="1"/>
    </format>
    <format dxfId="21">
      <pivotArea field="33" type="button" dataOnly="0" labelOnly="1" outline="0" axis="axisCol" fieldPosition="0"/>
    </format>
    <format dxfId="20">
      <pivotArea field="4" type="button" dataOnly="0" labelOnly="1" outline="0" axis="axisCol" fieldPosition="1"/>
    </format>
    <format dxfId="19">
      <pivotArea type="topRight" dataOnly="0" labelOnly="1" outline="0" fieldPosition="0"/>
    </format>
    <format dxfId="18">
      <pivotArea dataOnly="0" labelOnly="1" outline="0" fieldPosition="0">
        <references count="2">
          <reference field="4294967294" count="8">
            <x v="0"/>
            <x v="1"/>
            <x v="2"/>
            <x v="3"/>
            <x v="4"/>
            <x v="5"/>
            <x v="6"/>
            <x v="7"/>
          </reference>
          <reference field="0" count="1" selected="0">
            <x v="0"/>
          </reference>
        </references>
      </pivotArea>
    </format>
    <format dxfId="17">
      <pivotArea dataOnly="0" labelOnly="1" outline="0" fieldPosition="0">
        <references count="2">
          <reference field="4294967294" count="8">
            <x v="0"/>
            <x v="1"/>
            <x v="2"/>
            <x v="3"/>
            <x v="4"/>
            <x v="5"/>
            <x v="6"/>
            <x v="7"/>
          </reference>
          <reference field="0" count="1" selected="0">
            <x v="1"/>
          </reference>
        </references>
      </pivotArea>
    </format>
    <format dxfId="16">
      <pivotArea dataOnly="0" labelOnly="1" outline="0" fieldPosition="0">
        <references count="2">
          <reference field="4294967294" count="8">
            <x v="0"/>
            <x v="1"/>
            <x v="2"/>
            <x v="3"/>
            <x v="4"/>
            <x v="5"/>
            <x v="6"/>
            <x v="7"/>
          </reference>
          <reference field="0" count="1" selected="0">
            <x v="3"/>
          </reference>
        </references>
      </pivotArea>
    </format>
    <format dxfId="15">
      <pivotArea dataOnly="0" labelOnly="1" outline="0" fieldPosition="0">
        <references count="2">
          <reference field="4294967294" count="8">
            <x v="0"/>
            <x v="1"/>
            <x v="2"/>
            <x v="3"/>
            <x v="4"/>
            <x v="5"/>
            <x v="6"/>
            <x v="7"/>
          </reference>
          <reference field="0" count="1" selected="0">
            <x v="4"/>
          </reference>
        </references>
      </pivotArea>
    </format>
    <format dxfId="14">
      <pivotArea dataOnly="0" labelOnly="1" outline="0" fieldPosition="0">
        <references count="2">
          <reference field="4294967294" count="8">
            <x v="0"/>
            <x v="1"/>
            <x v="2"/>
            <x v="3"/>
            <x v="4"/>
            <x v="5"/>
            <x v="6"/>
            <x v="7"/>
          </reference>
          <reference field="0" count="1" selected="0">
            <x v="5"/>
          </reference>
        </references>
      </pivotArea>
    </format>
    <format dxfId="13">
      <pivotArea dataOnly="0" labelOnly="1" outline="0" fieldPosition="0">
        <references count="2">
          <reference field="4294967294" count="8">
            <x v="0"/>
            <x v="1"/>
            <x v="2"/>
            <x v="3"/>
            <x v="4"/>
            <x v="5"/>
            <x v="6"/>
            <x v="7"/>
          </reference>
          <reference field="0" count="1" selected="0">
            <x v="7"/>
          </reference>
        </references>
      </pivotArea>
    </format>
    <format dxfId="12">
      <pivotArea dataOnly="0" labelOnly="1" outline="0" fieldPosition="0">
        <references count="2">
          <reference field="4294967294" count="8">
            <x v="0"/>
            <x v="1"/>
            <x v="2"/>
            <x v="3"/>
            <x v="4"/>
            <x v="5"/>
            <x v="6"/>
            <x v="7"/>
          </reference>
          <reference field="0" count="1" selected="0">
            <x v="8"/>
          </reference>
        </references>
      </pivotArea>
    </format>
    <format dxfId="11">
      <pivotArea dataOnly="0" labelOnly="1" outline="0" fieldPosition="0">
        <references count="2">
          <reference field="4294967294" count="8">
            <x v="0"/>
            <x v="1"/>
            <x v="2"/>
            <x v="3"/>
            <x v="4"/>
            <x v="5"/>
            <x v="6"/>
            <x v="7"/>
          </reference>
          <reference field="0" count="1" selected="0">
            <x v="9"/>
          </reference>
        </references>
      </pivotArea>
    </format>
    <format dxfId="10">
      <pivotArea dataOnly="0" labelOnly="1" outline="0" fieldPosition="0">
        <references count="2">
          <reference field="4294967294" count="8">
            <x v="0"/>
            <x v="1"/>
            <x v="2"/>
            <x v="3"/>
            <x v="4"/>
            <x v="5"/>
            <x v="6"/>
            <x v="7"/>
          </reference>
          <reference field="0" count="1" selected="0">
            <x v="10"/>
          </reference>
        </references>
      </pivotArea>
    </format>
    <format dxfId="9">
      <pivotArea dataOnly="0" labelOnly="1" outline="0" fieldPosition="0">
        <references count="2">
          <reference field="4294967294" count="8">
            <x v="0"/>
            <x v="1"/>
            <x v="2"/>
            <x v="3"/>
            <x v="4"/>
            <x v="5"/>
            <x v="6"/>
            <x v="7"/>
          </reference>
          <reference field="0" count="1" selected="0">
            <x v="11"/>
          </reference>
        </references>
      </pivotArea>
    </format>
    <format dxfId="8">
      <pivotArea dataOnly="0" labelOnly="1" outline="0" fieldPosition="0">
        <references count="2">
          <reference field="4294967294" count="8">
            <x v="0"/>
            <x v="1"/>
            <x v="2"/>
            <x v="3"/>
            <x v="4"/>
            <x v="5"/>
            <x v="6"/>
            <x v="7"/>
          </reference>
          <reference field="0" count="1" selected="0">
            <x v="12"/>
          </reference>
        </references>
      </pivotArea>
    </format>
    <format dxfId="7">
      <pivotArea dataOnly="0" labelOnly="1" outline="0" fieldPosition="0">
        <references count="2">
          <reference field="4294967294" count="8">
            <x v="0"/>
            <x v="1"/>
            <x v="2"/>
            <x v="3"/>
            <x v="4"/>
            <x v="5"/>
            <x v="6"/>
            <x v="7"/>
          </reference>
          <reference field="0" count="1" selected="0">
            <x v="13"/>
          </reference>
        </references>
      </pivotArea>
    </format>
    <format dxfId="6">
      <pivotArea dataOnly="0" labelOnly="1" outline="0" fieldPosition="0">
        <references count="2">
          <reference field="4294967294" count="8">
            <x v="0"/>
            <x v="1"/>
            <x v="2"/>
            <x v="3"/>
            <x v="4"/>
            <x v="5"/>
            <x v="6"/>
            <x v="7"/>
          </reference>
          <reference field="0" count="1" selected="0">
            <x v="15"/>
          </reference>
        </references>
      </pivotArea>
    </format>
    <format dxfId="5">
      <pivotArea dataOnly="0" labelOnly="1" outline="0" fieldPosition="0">
        <references count="1">
          <reference field="33" count="0"/>
        </references>
      </pivotArea>
    </format>
    <format dxfId="4">
      <pivotArea dataOnly="0" labelOnly="1" outline="0" fieldPosition="0">
        <references count="1">
          <reference field="33" count="0" defaultSubtotal="1"/>
        </references>
      </pivotArea>
    </format>
    <format dxfId="3">
      <pivotArea dataOnly="0" labelOnly="1" outline="0" fieldPosition="0">
        <references count="2">
          <reference field="4" count="7">
            <x v="0"/>
            <x v="1"/>
            <x v="2"/>
            <x v="3"/>
            <x v="4"/>
            <x v="5"/>
            <x v="12"/>
          </reference>
          <reference field="33" count="1" selected="0">
            <x v="0"/>
          </reference>
        </references>
      </pivotArea>
    </format>
    <format dxfId="2">
      <pivotArea dataOnly="0" labelOnly="1" outline="0" fieldPosition="0">
        <references count="2">
          <reference field="4" count="4">
            <x v="6"/>
            <x v="7"/>
            <x v="8"/>
            <x v="9"/>
          </reference>
          <reference field="33" count="1" selected="0">
            <x v="1"/>
          </reference>
        </references>
      </pivotArea>
    </format>
    <format dxfId="1">
      <pivotArea dataOnly="0" labelOnly="1" outline="0" fieldPosition="0">
        <references count="2">
          <reference field="4" count="2">
            <x v="10"/>
            <x v="11"/>
          </reference>
          <reference field="33" count="1" selected="0">
            <x v="2"/>
          </reference>
        </references>
      </pivotArea>
    </format>
    <format dxfId="0">
      <pivotArea dataOnly="0" labelOnly="1" outline="0" fieldPosition="0">
        <references count="2">
          <reference field="4" count="1">
            <x v="6"/>
          </reference>
          <reference field="33" count="1" selected="0">
            <x v="1"/>
          </reference>
        </references>
      </pivotArea>
    </format>
  </formats>
  <pivotTableStyleInfo showRowHeaders="1" showColHeaders="1" showRowStripes="0" showColStripes="0" showLastColumn="1"/>
</pivotTableDefinition>
</file>

<file path=xl/queryTables/queryTable1.xml><?xml version="1.0" encoding="utf-8"?>
<queryTable xmlns="http://schemas.openxmlformats.org/spreadsheetml/2006/main" name="Type11gr5_1" connectionId="6"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Type11gr3_1" connectionId="4"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Type11gr2" connectionId="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Type11gr1_1" connectionId="2"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Type11ug5_1" connectionId="11"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Type11ug2" connectionId="8"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Type11gr4_1" connectionId="5"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Type11ug4" connectionId="10"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Type11ug1_1" connectionId="7"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Type11ug3" connectionId="9"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6.xml"/><Relationship Id="rId13" Type="http://schemas.openxmlformats.org/officeDocument/2006/relationships/comments" Target="../comments3.xml"/><Relationship Id="rId3" Type="http://schemas.openxmlformats.org/officeDocument/2006/relationships/queryTable" Target="../queryTables/queryTable1.xml"/><Relationship Id="rId7" Type="http://schemas.openxmlformats.org/officeDocument/2006/relationships/queryTable" Target="../queryTables/queryTable5.xml"/><Relationship Id="rId12" Type="http://schemas.openxmlformats.org/officeDocument/2006/relationships/queryTable" Target="../queryTables/queryTable10.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0" Type="http://schemas.openxmlformats.org/officeDocument/2006/relationships/queryTable" Target="../queryTables/queryTable8.xml"/><Relationship Id="rId4" Type="http://schemas.openxmlformats.org/officeDocument/2006/relationships/queryTable" Target="../queryTables/queryTable2.xml"/><Relationship Id="rId9" Type="http://schemas.openxmlformats.org/officeDocument/2006/relationships/queryTable" Target="../queryTables/queryTable7.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O117"/>
  <sheetViews>
    <sheetView showGridLines="0" showZeros="0" view="pageLayout" topLeftCell="A55" zoomScaleNormal="100" zoomScaleSheetLayoutView="100" workbookViewId="0">
      <selection activeCell="H87" sqref="H87"/>
    </sheetView>
  </sheetViews>
  <sheetFormatPr defaultRowHeight="15"/>
  <cols>
    <col min="1" max="1" width="12.7109375" style="207" customWidth="1"/>
    <col min="2" max="7" width="7.140625" style="207" customWidth="1"/>
    <col min="8" max="8" width="7.140625" style="213" customWidth="1"/>
    <col min="9" max="12" width="7.140625" style="207" customWidth="1"/>
    <col min="13" max="13" width="7.140625" style="212" customWidth="1"/>
    <col min="14" max="15" width="7.140625" style="207" customWidth="1"/>
    <col min="16" max="16" width="7.140625" style="213" customWidth="1"/>
    <col min="17" max="23" width="9.140625" style="207"/>
    <col min="24" max="24" width="13.28515625" style="207" customWidth="1"/>
    <col min="25" max="16384" width="9.140625" style="207"/>
  </cols>
  <sheetData>
    <row r="1" spans="1:33" ht="18">
      <c r="A1" s="16" t="s">
        <v>172</v>
      </c>
      <c r="B1" s="17"/>
      <c r="C1" s="17"/>
      <c r="D1" s="17"/>
      <c r="E1" s="17"/>
      <c r="F1" s="17"/>
      <c r="G1" s="204"/>
      <c r="H1" s="205"/>
      <c r="I1" s="204"/>
      <c r="J1" s="204"/>
      <c r="K1" s="204"/>
      <c r="L1" s="204"/>
      <c r="M1" s="206"/>
      <c r="N1" s="204"/>
      <c r="O1" s="21"/>
      <c r="P1" s="21"/>
    </row>
    <row r="2" spans="1:33" s="25" customFormat="1" ht="12.75">
      <c r="A2" s="22"/>
      <c r="B2" s="21"/>
      <c r="C2" s="21"/>
      <c r="D2" s="21"/>
      <c r="E2" s="21"/>
      <c r="F2" s="21"/>
      <c r="G2" s="21"/>
      <c r="H2" s="23"/>
      <c r="I2" s="21"/>
      <c r="J2" s="21"/>
      <c r="K2" s="21"/>
      <c r="L2" s="21"/>
      <c r="M2" s="24"/>
      <c r="N2" s="21"/>
      <c r="O2" s="21"/>
      <c r="P2" s="23"/>
    </row>
    <row r="3" spans="1:33" ht="15.75">
      <c r="A3" s="208" t="s">
        <v>897</v>
      </c>
      <c r="B3" s="21"/>
      <c r="C3" s="21"/>
      <c r="D3" s="21"/>
      <c r="E3" s="21"/>
      <c r="F3" s="21"/>
      <c r="G3" s="204"/>
      <c r="H3" s="205"/>
      <c r="I3" s="204"/>
      <c r="J3" s="204"/>
      <c r="K3" s="204"/>
      <c r="L3" s="204"/>
      <c r="M3" s="206"/>
      <c r="N3" s="204"/>
      <c r="O3" s="204"/>
      <c r="P3" s="205"/>
    </row>
    <row r="4" spans="1:33">
      <c r="A4" s="209"/>
      <c r="B4" s="210"/>
      <c r="C4" s="210"/>
      <c r="D4" s="210"/>
      <c r="E4" s="210"/>
      <c r="F4" s="210"/>
      <c r="G4" s="210"/>
      <c r="H4" s="211"/>
      <c r="I4" s="210"/>
      <c r="J4" s="210"/>
      <c r="K4" s="210"/>
      <c r="L4" s="210"/>
    </row>
    <row r="5" spans="1:33" s="34" customFormat="1">
      <c r="A5" s="263"/>
      <c r="B5" s="638" t="s">
        <v>87</v>
      </c>
      <c r="C5" s="638"/>
      <c r="D5" s="638"/>
      <c r="E5" s="638"/>
      <c r="F5" s="638"/>
      <c r="G5" s="638"/>
      <c r="H5" s="639"/>
      <c r="I5" s="640" t="s">
        <v>88</v>
      </c>
      <c r="J5" s="638"/>
      <c r="K5" s="638"/>
      <c r="L5" s="638"/>
      <c r="M5" s="638"/>
      <c r="N5" s="264" t="s">
        <v>89</v>
      </c>
      <c r="O5" s="265"/>
      <c r="P5" s="81"/>
      <c r="R5" s="207"/>
      <c r="S5" s="207"/>
      <c r="T5" s="207"/>
      <c r="U5" s="207"/>
      <c r="V5" s="207"/>
      <c r="W5" s="207"/>
      <c r="X5" s="207"/>
      <c r="Y5" s="207"/>
      <c r="Z5" s="207"/>
      <c r="AA5" s="207"/>
      <c r="AB5" s="207"/>
      <c r="AC5" s="207"/>
      <c r="AD5" s="207"/>
      <c r="AE5" s="207"/>
      <c r="AF5" s="207"/>
      <c r="AG5" s="207"/>
    </row>
    <row r="6" spans="1:33" s="41" customFormat="1" ht="24.75">
      <c r="A6" s="266"/>
      <c r="B6" s="267">
        <v>1</v>
      </c>
      <c r="C6" s="267">
        <v>2</v>
      </c>
      <c r="D6" s="267">
        <v>3</v>
      </c>
      <c r="E6" s="267">
        <v>4</v>
      </c>
      <c r="F6" s="267">
        <v>5</v>
      </c>
      <c r="G6" s="267">
        <v>6</v>
      </c>
      <c r="H6" s="268" t="s">
        <v>173</v>
      </c>
      <c r="I6" s="269" t="s">
        <v>174</v>
      </c>
      <c r="J6" s="267">
        <v>1</v>
      </c>
      <c r="K6" s="267">
        <v>2</v>
      </c>
      <c r="L6" s="267">
        <v>3</v>
      </c>
      <c r="M6" s="270" t="s">
        <v>173</v>
      </c>
      <c r="N6" s="270">
        <v>1</v>
      </c>
      <c r="O6" s="267">
        <v>2</v>
      </c>
      <c r="P6" s="262" t="s">
        <v>173</v>
      </c>
      <c r="R6" s="207"/>
      <c r="S6" s="207"/>
      <c r="T6" s="207"/>
      <c r="U6" s="207"/>
      <c r="V6" s="207"/>
      <c r="W6" s="207"/>
      <c r="X6" s="207"/>
      <c r="Y6" s="207"/>
      <c r="Z6" s="207"/>
      <c r="AA6" s="207"/>
      <c r="AB6" s="207"/>
      <c r="AC6" s="207"/>
      <c r="AD6" s="207"/>
      <c r="AE6" s="207"/>
      <c r="AF6" s="207"/>
      <c r="AG6" s="207"/>
    </row>
    <row r="7" spans="1:33">
      <c r="A7" s="25" t="s">
        <v>175</v>
      </c>
      <c r="B7" s="157">
        <f>+'NEW...Tables 91-112'!B41+'NEW...Tables 91-112'!C41</f>
        <v>88.238726370338583</v>
      </c>
      <c r="C7" s="157">
        <f>+'NEW...Tables 91-112'!B72+'NEW...Tables 91-112'!C72</f>
        <v>98.364031869843345</v>
      </c>
      <c r="D7" s="157">
        <f>+'NEW...Tables 91-112'!B103+'NEW...Tables 91-112'!C103</f>
        <v>79.49025858313864</v>
      </c>
      <c r="E7" s="157">
        <f>+'NEW...Tables 91-112'!B134+'NEW...Tables 91-112'!C134</f>
        <v>90.060868820866133</v>
      </c>
      <c r="F7" s="157">
        <f>+'NEW...Tables 91-112'!B164+'NEW...Tables 91-112'!C164</f>
        <v>95.393407932283822</v>
      </c>
      <c r="G7" s="157">
        <f>+'NEW...Tables 91-112'!B195+'NEW...Tables 91-112'!C195</f>
        <v>28.639938391169402</v>
      </c>
      <c r="H7" s="160">
        <f>+'NEW...Tables 91-112'!B9+'NEW...Tables 91-112'!C9</f>
        <v>88.238726370338583</v>
      </c>
      <c r="I7" s="162">
        <f>+'NEW...Tables 91-112'!B257+'NEW...Tables 91-112'!C257</f>
        <v>0</v>
      </c>
      <c r="J7" s="157">
        <f>+'NEW...Tables 91-112'!B288+'NEW...Tables 91-112'!C288</f>
        <v>79.646310356360232</v>
      </c>
      <c r="K7" s="157">
        <f>+'NEW...Tables 91-112'!B319+'NEW...Tables 91-112'!C319</f>
        <v>85.135180949748204</v>
      </c>
      <c r="L7" s="157">
        <f>+'NEW...Tables 91-112'!B349+'NEW...Tables 91-112'!C349</f>
        <v>77.23063883886006</v>
      </c>
      <c r="M7" s="162">
        <f>+'NEW...Tables 91-112'!B226+'NEW...Tables 91-112'!C226</f>
        <v>82.165532134053379</v>
      </c>
      <c r="N7" s="165">
        <f>+'NEW...Tables 91-112'!B410+'NEW...Tables 91-112'!C410</f>
        <v>93.127550402003962</v>
      </c>
      <c r="O7" s="167">
        <f>+'NEW...Tables 91-112'!B440+'NEW...Tables 91-112'!C440</f>
        <v>87.863074741746004</v>
      </c>
      <c r="P7" s="170">
        <f>+'NEW...Tables 91-112'!B380+'NEW...Tables 91-112'!C380</f>
        <v>89.972239533170921</v>
      </c>
      <c r="Q7" s="25"/>
      <c r="R7" s="25"/>
      <c r="V7" s="25"/>
    </row>
    <row r="8" spans="1:33">
      <c r="A8" s="25" t="s">
        <v>176</v>
      </c>
      <c r="B8" s="157">
        <f>+'NEW...Tables 91-112'!B42+'NEW...Tables 91-112'!C42</f>
        <v>87.864381551890872</v>
      </c>
      <c r="C8" s="157">
        <f>+'NEW...Tables 91-112'!B73+'NEW...Tables 91-112'!C73</f>
        <v>0</v>
      </c>
      <c r="D8" s="157">
        <f>+'NEW...Tables 91-112'!B104+'NEW...Tables 91-112'!C104</f>
        <v>83.659196364353861</v>
      </c>
      <c r="E8" s="157">
        <f>+'NEW...Tables 91-112'!B135+'NEW...Tables 91-112'!C135</f>
        <v>86.234307425629893</v>
      </c>
      <c r="F8" s="157">
        <f>+'NEW...Tables 91-112'!B165+'NEW...Tables 91-112'!C165</f>
        <v>83.579622788255875</v>
      </c>
      <c r="G8" s="157">
        <f>+'NEW...Tables 91-112'!B196+'NEW...Tables 91-112'!C196</f>
        <v>88.440750070368082</v>
      </c>
      <c r="H8" s="160">
        <f>+'NEW...Tables 91-112'!B10+'NEW...Tables 91-112'!C10</f>
        <v>87.864381551890872</v>
      </c>
      <c r="I8" s="162">
        <f>+'NEW...Tables 91-112'!B258+'NEW...Tables 91-112'!C258</f>
        <v>0</v>
      </c>
      <c r="J8" s="157">
        <f>+'NEW...Tables 91-112'!B289+'NEW...Tables 91-112'!C289</f>
        <v>72.149702577660264</v>
      </c>
      <c r="K8" s="157">
        <f>+'NEW...Tables 91-112'!B320+'NEW...Tables 91-112'!C320</f>
        <v>82.105072182049099</v>
      </c>
      <c r="L8" s="157">
        <f>+'NEW...Tables 91-112'!B350+'NEW...Tables 91-112'!C350</f>
        <v>81.016141974630116</v>
      </c>
      <c r="M8" s="162">
        <f>+'NEW...Tables 91-112'!B227+'NEW...Tables 91-112'!C227</f>
        <v>78.322770229075743</v>
      </c>
      <c r="N8" s="165">
        <f>+'NEW...Tables 91-112'!B411+'NEW...Tables 91-112'!C411</f>
        <v>0</v>
      </c>
      <c r="O8" s="167">
        <f>+'NEW...Tables 91-112'!B441+'NEW...Tables 91-112'!C441</f>
        <v>0</v>
      </c>
      <c r="P8" s="170">
        <f>+'NEW...Tables 91-112'!B381+'NEW...Tables 91-112'!C381</f>
        <v>0</v>
      </c>
    </row>
    <row r="9" spans="1:33">
      <c r="A9" s="25" t="s">
        <v>177</v>
      </c>
      <c r="B9" s="157">
        <f>+'NEW...Tables 91-112'!B43+'NEW...Tables 91-112'!C43</f>
        <v>97.203972643322345</v>
      </c>
      <c r="C9" s="157">
        <f>+'NEW...Tables 91-112'!B74+'NEW...Tables 91-112'!C74</f>
        <v>0</v>
      </c>
      <c r="D9" s="157">
        <f>+'NEW...Tables 91-112'!B105+'NEW...Tables 91-112'!C105</f>
        <v>0</v>
      </c>
      <c r="E9" s="157">
        <f>+'NEW...Tables 91-112'!B136+'NEW...Tables 91-112'!C136</f>
        <v>98.361074816792595</v>
      </c>
      <c r="F9" s="157">
        <f>+'NEW...Tables 91-112'!B166+'NEW...Tables 91-112'!C166</f>
        <v>0</v>
      </c>
      <c r="G9" s="157">
        <f>+'NEW...Tables 91-112'!B197+'NEW...Tables 91-112'!C197</f>
        <v>0</v>
      </c>
      <c r="H9" s="160">
        <f>+'NEW...Tables 91-112'!B11+'NEW...Tables 91-112'!C11</f>
        <v>97.203972643322345</v>
      </c>
      <c r="I9" s="162">
        <f>+'NEW...Tables 91-112'!B259+'NEW...Tables 91-112'!C259</f>
        <v>0</v>
      </c>
      <c r="J9" s="157">
        <f>+'NEW...Tables 91-112'!B290+'NEW...Tables 91-112'!C290</f>
        <v>86.705081393579803</v>
      </c>
      <c r="K9" s="157">
        <f>+'NEW...Tables 91-112'!B321+'NEW...Tables 91-112'!C321</f>
        <v>80.962476505862341</v>
      </c>
      <c r="L9" s="157">
        <f>+'NEW...Tables 91-112'!B351+'NEW...Tables 91-112'!C351</f>
        <v>0</v>
      </c>
      <c r="M9" s="162">
        <f>+'NEW...Tables 91-112'!B228+'NEW...Tables 91-112'!C228</f>
        <v>83.65446333055985</v>
      </c>
      <c r="N9" s="165">
        <f>+'NEW...Tables 91-112'!B412+'NEW...Tables 91-112'!C412</f>
        <v>0</v>
      </c>
      <c r="O9" s="167">
        <f>+'NEW...Tables 91-112'!B442+'NEW...Tables 91-112'!C442</f>
        <v>0</v>
      </c>
      <c r="P9" s="170">
        <f>+'NEW...Tables 91-112'!B382+'NEW...Tables 91-112'!C382</f>
        <v>0</v>
      </c>
    </row>
    <row r="10" spans="1:33">
      <c r="A10" s="25" t="s">
        <v>178</v>
      </c>
      <c r="B10" s="157">
        <f>+'NEW...Tables 91-112'!B44+'NEW...Tables 91-112'!C44</f>
        <v>81.657663114327534</v>
      </c>
      <c r="C10" s="157">
        <f>+'NEW...Tables 91-112'!B75+'NEW...Tables 91-112'!C75</f>
        <v>92.534481062305204</v>
      </c>
      <c r="D10" s="157">
        <f>+'NEW...Tables 91-112'!B106+'NEW...Tables 91-112'!C106</f>
        <v>85.174639874264486</v>
      </c>
      <c r="E10" s="157">
        <f>+'NEW...Tables 91-112'!B137+'NEW...Tables 91-112'!C137</f>
        <v>82.619739883491647</v>
      </c>
      <c r="F10" s="157">
        <f>+'NEW...Tables 91-112'!B167+'NEW...Tables 91-112'!C167</f>
        <v>0</v>
      </c>
      <c r="G10" s="157">
        <f>+'NEW...Tables 91-112'!B198+'NEW...Tables 91-112'!C198</f>
        <v>100</v>
      </c>
      <c r="H10" s="160">
        <f>+'NEW...Tables 91-112'!B12+'NEW...Tables 91-112'!C12</f>
        <v>81.657663114327534</v>
      </c>
      <c r="I10" s="162">
        <f>+'NEW...Tables 91-112'!B260+'NEW...Tables 91-112'!C260</f>
        <v>67.976251581387018</v>
      </c>
      <c r="J10" s="157">
        <f>+'NEW...Tables 91-112'!B291+'NEW...Tables 91-112'!C291</f>
        <v>73.528957390840645</v>
      </c>
      <c r="K10" s="157">
        <f>+'NEW...Tables 91-112'!B322+'NEW...Tables 91-112'!C322</f>
        <v>67.230411331164817</v>
      </c>
      <c r="L10" s="157">
        <f>+'NEW...Tables 91-112'!B352+'NEW...Tables 91-112'!C352</f>
        <v>42.423961079956925</v>
      </c>
      <c r="M10" s="162">
        <f>+'NEW...Tables 91-112'!B229+'NEW...Tables 91-112'!C229</f>
        <v>70.812463756331482</v>
      </c>
      <c r="N10" s="165">
        <f>+'NEW...Tables 91-112'!B413+'NEW...Tables 91-112'!C413</f>
        <v>0</v>
      </c>
      <c r="O10" s="167">
        <f>+'NEW...Tables 91-112'!B443+'NEW...Tables 91-112'!C443</f>
        <v>0</v>
      </c>
      <c r="P10" s="170">
        <f>+'NEW...Tables 91-112'!B383+'NEW...Tables 91-112'!C383</f>
        <v>0</v>
      </c>
    </row>
    <row r="11" spans="1:33">
      <c r="A11" s="25"/>
      <c r="B11" s="157"/>
      <c r="C11" s="157"/>
      <c r="D11" s="157"/>
      <c r="E11" s="157"/>
      <c r="F11" s="157"/>
      <c r="G11" s="157"/>
      <c r="H11" s="160"/>
      <c r="I11" s="162"/>
      <c r="J11" s="157"/>
      <c r="K11" s="157"/>
      <c r="L11" s="157"/>
      <c r="M11" s="162"/>
      <c r="N11" s="165"/>
      <c r="O11" s="167"/>
      <c r="P11" s="170"/>
    </row>
    <row r="12" spans="1:33">
      <c r="A12" s="25" t="s">
        <v>179</v>
      </c>
      <c r="B12" s="157">
        <f>+'NEW...Tables 91-112'!B46+'NEW...Tables 91-112'!C46</f>
        <v>0</v>
      </c>
      <c r="C12" s="157">
        <f>+'NEW...Tables 91-112'!B77+'NEW...Tables 91-112'!C77</f>
        <v>0</v>
      </c>
      <c r="D12" s="157">
        <f>+'NEW...Tables 91-112'!B108+'NEW...Tables 91-112'!C108</f>
        <v>0</v>
      </c>
      <c r="E12" s="157">
        <f>+'NEW...Tables 91-112'!B139+'NEW...Tables 91-112'!C139</f>
        <v>0</v>
      </c>
      <c r="F12" s="157">
        <f>+'NEW...Tables 91-112'!B169+'NEW...Tables 91-112'!C169</f>
        <v>0</v>
      </c>
      <c r="G12" s="157">
        <f>+'NEW...Tables 91-112'!B200+'NEW...Tables 91-112'!C200</f>
        <v>0</v>
      </c>
      <c r="H12" s="160">
        <f>+'NEW...Tables 91-112'!B14+'NEW...Tables 91-112'!C14</f>
        <v>0</v>
      </c>
      <c r="I12" s="162">
        <f>+'NEW...Tables 91-112'!B262+'NEW...Tables 91-112'!C262</f>
        <v>0</v>
      </c>
      <c r="J12" s="157">
        <f>+'NEW...Tables 91-112'!B293+'NEW...Tables 91-112'!C293</f>
        <v>0</v>
      </c>
      <c r="K12" s="157">
        <f>+'NEW...Tables 91-112'!B324+'NEW...Tables 91-112'!C324</f>
        <v>0</v>
      </c>
      <c r="L12" s="157">
        <f>+'NEW...Tables 91-112'!B354+'NEW...Tables 91-112'!C354</f>
        <v>0</v>
      </c>
      <c r="M12" s="162">
        <f>+'NEW...Tables 91-112'!B231+'NEW...Tables 91-112'!C231</f>
        <v>0</v>
      </c>
      <c r="N12" s="165">
        <f>+'NEW...Tables 91-112'!B415+'NEW...Tables 91-112'!C415</f>
        <v>77.544665630776976</v>
      </c>
      <c r="O12" s="167">
        <f>+'NEW...Tables 91-112'!B445+'NEW...Tables 91-112'!C445</f>
        <v>0</v>
      </c>
      <c r="P12" s="170">
        <f>+'NEW...Tables 91-112'!B385+'NEW...Tables 91-112'!C385</f>
        <v>77.544665630776976</v>
      </c>
    </row>
    <row r="13" spans="1:33">
      <c r="A13" s="25" t="s">
        <v>180</v>
      </c>
      <c r="B13" s="157">
        <f>+'NEW...Tables 91-112'!B47+'NEW...Tables 91-112'!C47</f>
        <v>88.926205413561547</v>
      </c>
      <c r="C13" s="157">
        <f>+'NEW...Tables 91-112'!B78+'NEW...Tables 91-112'!C78</f>
        <v>0</v>
      </c>
      <c r="D13" s="157">
        <f>+'NEW...Tables 91-112'!B109+'NEW...Tables 91-112'!C109</f>
        <v>84.969794502389291</v>
      </c>
      <c r="E13" s="157">
        <f>+'NEW...Tables 91-112'!B140+'NEW...Tables 91-112'!C140</f>
        <v>87.169887076537009</v>
      </c>
      <c r="F13" s="157">
        <f>+'NEW...Tables 91-112'!B170+'NEW...Tables 91-112'!C170</f>
        <v>0</v>
      </c>
      <c r="G13" s="157">
        <f>+'NEW...Tables 91-112'!B201+'NEW...Tables 91-112'!C201</f>
        <v>0</v>
      </c>
      <c r="H13" s="160">
        <f>+'NEW...Tables 91-112'!B15+'NEW...Tables 91-112'!C15</f>
        <v>88.926205413561547</v>
      </c>
      <c r="I13" s="162">
        <f>+'NEW...Tables 91-112'!B263+'NEW...Tables 91-112'!C263</f>
        <v>0</v>
      </c>
      <c r="J13" s="157">
        <f>+'NEW...Tables 91-112'!B294+'NEW...Tables 91-112'!C294</f>
        <v>75.973128376593536</v>
      </c>
      <c r="K13" s="157">
        <f>+'NEW...Tables 91-112'!B325+'NEW...Tables 91-112'!C325</f>
        <v>68.474558960439026</v>
      </c>
      <c r="L13" s="157">
        <f>+'NEW...Tables 91-112'!B355+'NEW...Tables 91-112'!C355</f>
        <v>63.161856289034837</v>
      </c>
      <c r="M13" s="162">
        <f>+'NEW...Tables 91-112'!B232+'NEW...Tables 91-112'!C232</f>
        <v>70.585358054935966</v>
      </c>
      <c r="N13" s="165">
        <f>+'NEW...Tables 91-112'!B416+'NEW...Tables 91-112'!C416</f>
        <v>89.807215909877243</v>
      </c>
      <c r="O13" s="167">
        <f>+'NEW...Tables 91-112'!B446+'NEW...Tables 91-112'!C446</f>
        <v>0</v>
      </c>
      <c r="P13" s="170">
        <f>+'NEW...Tables 91-112'!B386+'NEW...Tables 91-112'!C386</f>
        <v>89.807215909877243</v>
      </c>
    </row>
    <row r="14" spans="1:33">
      <c r="A14" s="25" t="s">
        <v>181</v>
      </c>
      <c r="B14" s="157">
        <f>+'NEW...Tables 91-112'!B48+'NEW...Tables 91-112'!C48</f>
        <v>0</v>
      </c>
      <c r="C14" s="157">
        <f>+'NEW...Tables 91-112'!B79+'NEW...Tables 91-112'!C79</f>
        <v>0</v>
      </c>
      <c r="D14" s="157">
        <f>+'NEW...Tables 91-112'!B110+'NEW...Tables 91-112'!C110</f>
        <v>0</v>
      </c>
      <c r="E14" s="157">
        <f>+'NEW...Tables 91-112'!B141+'NEW...Tables 91-112'!C141</f>
        <v>0</v>
      </c>
      <c r="F14" s="157">
        <f>+'NEW...Tables 91-112'!B171+'NEW...Tables 91-112'!C171</f>
        <v>0</v>
      </c>
      <c r="G14" s="157">
        <f>+'NEW...Tables 91-112'!B202+'NEW...Tables 91-112'!C202</f>
        <v>0</v>
      </c>
      <c r="H14" s="160">
        <f>+'NEW...Tables 91-112'!B16+'NEW...Tables 91-112'!C16</f>
        <v>0</v>
      </c>
      <c r="I14" s="162">
        <f>+'NEW...Tables 91-112'!B264+'NEW...Tables 91-112'!C264</f>
        <v>0</v>
      </c>
      <c r="J14" s="157">
        <f>+'NEW...Tables 91-112'!B295+'NEW...Tables 91-112'!C295</f>
        <v>0</v>
      </c>
      <c r="K14" s="157">
        <f>+'NEW...Tables 91-112'!B326+'NEW...Tables 91-112'!C326</f>
        <v>0</v>
      </c>
      <c r="L14" s="157">
        <f>+'NEW...Tables 91-112'!B356+'NEW...Tables 91-112'!C356</f>
        <v>0</v>
      </c>
      <c r="M14" s="162">
        <f>+'NEW...Tables 91-112'!B233+'NEW...Tables 91-112'!C233</f>
        <v>0</v>
      </c>
      <c r="N14" s="165">
        <f>+'NEW...Tables 91-112'!B417+'NEW...Tables 91-112'!C417</f>
        <v>0</v>
      </c>
      <c r="O14" s="167">
        <f>+'NEW...Tables 91-112'!B447+'NEW...Tables 91-112'!C447</f>
        <v>0</v>
      </c>
      <c r="P14" s="170">
        <f>+'NEW...Tables 91-112'!B387+'NEW...Tables 91-112'!C387</f>
        <v>0</v>
      </c>
    </row>
    <row r="15" spans="1:33">
      <c r="A15" s="25" t="s">
        <v>182</v>
      </c>
      <c r="B15" s="157">
        <f>+'NEW...Tables 91-112'!B49+'NEW...Tables 91-112'!C49</f>
        <v>81.727816852660737</v>
      </c>
      <c r="C15" s="157">
        <f>+'NEW...Tables 91-112'!B80+'NEW...Tables 91-112'!C80</f>
        <v>94.315529342931896</v>
      </c>
      <c r="D15" s="157">
        <f>+'NEW...Tables 91-112'!B111+'NEW...Tables 91-112'!C111</f>
        <v>94.858845383181929</v>
      </c>
      <c r="E15" s="157">
        <f>+'NEW...Tables 91-112'!B142+'NEW...Tables 91-112'!C142</f>
        <v>90.6853984633116</v>
      </c>
      <c r="F15" s="157">
        <f>+'NEW...Tables 91-112'!B172+'NEW...Tables 91-112'!C172</f>
        <v>0</v>
      </c>
      <c r="G15" s="157">
        <f>+'NEW...Tables 91-112'!B203+'NEW...Tables 91-112'!C203</f>
        <v>100</v>
      </c>
      <c r="H15" s="160">
        <f>+'NEW...Tables 91-112'!B17+'NEW...Tables 91-112'!C17</f>
        <v>81.727816852660737</v>
      </c>
      <c r="I15" s="162">
        <f>+'NEW...Tables 91-112'!B265+'NEW...Tables 91-112'!C265</f>
        <v>0</v>
      </c>
      <c r="J15" s="157">
        <f>+'NEW...Tables 91-112'!B296+'NEW...Tables 91-112'!C296</f>
        <v>85.658880771310066</v>
      </c>
      <c r="K15" s="157">
        <f>+'NEW...Tables 91-112'!B327+'NEW...Tables 91-112'!C327</f>
        <v>84.183767763354652</v>
      </c>
      <c r="L15" s="157">
        <f>+'NEW...Tables 91-112'!B357+'NEW...Tables 91-112'!C357</f>
        <v>82.342668110427866</v>
      </c>
      <c r="M15" s="162">
        <f>+'NEW...Tables 91-112'!B234+'NEW...Tables 91-112'!C234</f>
        <v>85.149852486012065</v>
      </c>
      <c r="N15" s="165">
        <f>+'NEW...Tables 91-112'!B418+'NEW...Tables 91-112'!C418</f>
        <v>0</v>
      </c>
      <c r="O15" s="167">
        <f>+'NEW...Tables 91-112'!B448+'NEW...Tables 91-112'!C448</f>
        <v>0</v>
      </c>
      <c r="P15" s="170">
        <f>+'NEW...Tables 91-112'!B388+'NEW...Tables 91-112'!C388</f>
        <v>0</v>
      </c>
    </row>
    <row r="16" spans="1:33">
      <c r="A16" s="25"/>
      <c r="B16" s="157"/>
      <c r="C16" s="157"/>
      <c r="D16" s="157"/>
      <c r="E16" s="157"/>
      <c r="F16" s="157"/>
      <c r="G16" s="157"/>
      <c r="H16" s="160"/>
      <c r="I16" s="162"/>
      <c r="J16" s="157"/>
      <c r="K16" s="157"/>
      <c r="L16" s="157"/>
      <c r="M16" s="162"/>
      <c r="N16" s="165"/>
      <c r="O16" s="167"/>
      <c r="P16" s="170"/>
    </row>
    <row r="17" spans="1:40" ht="15.75" customHeight="1">
      <c r="A17" s="25" t="s">
        <v>183</v>
      </c>
      <c r="B17" s="157">
        <f>+'NEW...Tables 91-112'!B51+'NEW...Tables 91-112'!C51</f>
        <v>90.957356596039347</v>
      </c>
      <c r="C17" s="157">
        <f>+'NEW...Tables 91-112'!B82+'NEW...Tables 91-112'!C82</f>
        <v>95.686514538357102</v>
      </c>
      <c r="D17" s="157">
        <f>+'NEW...Tables 91-112'!B113+'NEW...Tables 91-112'!C113</f>
        <v>0</v>
      </c>
      <c r="E17" s="157">
        <f>+'NEW...Tables 91-112'!B144+'NEW...Tables 91-112'!C144</f>
        <v>82.482028978003299</v>
      </c>
      <c r="F17" s="157">
        <f>+'NEW...Tables 91-112'!B174+'NEW...Tables 91-112'!C174</f>
        <v>59.079616704128711</v>
      </c>
      <c r="G17" s="157">
        <f>+'NEW...Tables 91-112'!B205+'NEW...Tables 91-112'!C205</f>
        <v>0</v>
      </c>
      <c r="H17" s="160">
        <f>+'NEW...Tables 91-112'!B19+'NEW...Tables 91-112'!C19</f>
        <v>90.957356596039347</v>
      </c>
      <c r="I17" s="162">
        <f>+'NEW...Tables 91-112'!B267+'NEW...Tables 91-112'!C267</f>
        <v>0</v>
      </c>
      <c r="J17" s="157">
        <f>+'NEW...Tables 91-112'!B298+'NEW...Tables 91-112'!C298</f>
        <v>78.568459219513258</v>
      </c>
      <c r="K17" s="157">
        <f>+'NEW...Tables 91-112'!B329+'NEW...Tables 91-112'!C329</f>
        <v>81.53904148318226</v>
      </c>
      <c r="L17" s="157">
        <f>+'NEW...Tables 91-112'!B359+'NEW...Tables 91-112'!C359</f>
        <v>87.860860969092229</v>
      </c>
      <c r="M17" s="162">
        <f>+'NEW...Tables 91-112'!B236+'NEW...Tables 91-112'!C236</f>
        <v>80.526885157172785</v>
      </c>
      <c r="N17" s="165">
        <f>+'NEW...Tables 91-112'!B420+'NEW...Tables 91-112'!C420</f>
        <v>0</v>
      </c>
      <c r="O17" s="167">
        <f>+'NEW...Tables 91-112'!B450+'NEW...Tables 91-112'!C450</f>
        <v>0</v>
      </c>
      <c r="P17" s="170">
        <f>+'NEW...Tables 91-112'!B390+'NEW...Tables 91-112'!C390</f>
        <v>0</v>
      </c>
    </row>
    <row r="18" spans="1:40" ht="15.75" customHeight="1">
      <c r="A18" s="25" t="s">
        <v>184</v>
      </c>
      <c r="B18" s="157">
        <f>+'NEW...Tables 91-112'!B52+'NEW...Tables 91-112'!C52</f>
        <v>90.820050078935495</v>
      </c>
      <c r="C18" s="157">
        <f>+'NEW...Tables 91-112'!B83+'NEW...Tables 91-112'!C83</f>
        <v>95.941904640849657</v>
      </c>
      <c r="D18" s="157">
        <f>+'NEW...Tables 91-112'!B114+'NEW...Tables 91-112'!C114</f>
        <v>91.362663229492171</v>
      </c>
      <c r="E18" s="157">
        <f>+'NEW...Tables 91-112'!B145+'NEW...Tables 91-112'!C145</f>
        <v>84.076909598199251</v>
      </c>
      <c r="F18" s="157">
        <f>+'NEW...Tables 91-112'!B175+'NEW...Tables 91-112'!C175</f>
        <v>83.869437789587607</v>
      </c>
      <c r="G18" s="157">
        <f>+'NEW...Tables 91-112'!B206+'NEW...Tables 91-112'!C206</f>
        <v>91.089390872753526</v>
      </c>
      <c r="H18" s="160">
        <f>+'NEW...Tables 91-112'!B20+'NEW...Tables 91-112'!C20</f>
        <v>90.820050078935495</v>
      </c>
      <c r="I18" s="162">
        <f>+'NEW...Tables 91-112'!B268+'NEW...Tables 91-112'!C268</f>
        <v>0</v>
      </c>
      <c r="J18" s="157">
        <f>+'NEW...Tables 91-112'!B299+'NEW...Tables 91-112'!C299</f>
        <v>69.305439430496165</v>
      </c>
      <c r="K18" s="157">
        <f>+'NEW...Tables 91-112'!B330+'NEW...Tables 91-112'!C330</f>
        <v>65.664891648773789</v>
      </c>
      <c r="L18" s="157">
        <f>+'NEW...Tables 91-112'!B360+'NEW...Tables 91-112'!C360</f>
        <v>64.044925368757518</v>
      </c>
      <c r="M18" s="162">
        <f>+'NEW...Tables 91-112'!B237+'NEW...Tables 91-112'!C237</f>
        <v>67.094080509140795</v>
      </c>
      <c r="N18" s="165">
        <f>+'NEW...Tables 91-112'!B421+'NEW...Tables 91-112'!C421</f>
        <v>0</v>
      </c>
      <c r="O18" s="167">
        <f>+'NEW...Tables 91-112'!B451+'NEW...Tables 91-112'!C451</f>
        <v>0</v>
      </c>
      <c r="P18" s="170">
        <f>+'NEW...Tables 91-112'!B391+'NEW...Tables 91-112'!C391</f>
        <v>0</v>
      </c>
    </row>
    <row r="19" spans="1:40" ht="15.75" customHeight="1">
      <c r="A19" s="25" t="s">
        <v>185</v>
      </c>
      <c r="B19" s="157">
        <f>+'NEW...Tables 91-112'!B53+'NEW...Tables 91-112'!C53</f>
        <v>85.842233986399322</v>
      </c>
      <c r="C19" s="157">
        <f>+'NEW...Tables 91-112'!B84+'NEW...Tables 91-112'!C84</f>
        <v>0</v>
      </c>
      <c r="D19" s="157">
        <f>+'NEW...Tables 91-112'!B115+'NEW...Tables 91-112'!C115</f>
        <v>88.42644979392611</v>
      </c>
      <c r="E19" s="157">
        <f>+'NEW...Tables 91-112'!B146+'NEW...Tables 91-112'!C146</f>
        <v>0</v>
      </c>
      <c r="F19" s="157">
        <f>+'NEW...Tables 91-112'!B176+'NEW...Tables 91-112'!C176</f>
        <v>82.426837115524862</v>
      </c>
      <c r="G19" s="157">
        <f>+'NEW...Tables 91-112'!B207+'NEW...Tables 91-112'!C207</f>
        <v>80.387593352928391</v>
      </c>
      <c r="H19" s="160">
        <f>+'NEW...Tables 91-112'!B21+'NEW...Tables 91-112'!C21</f>
        <v>85.842233986399322</v>
      </c>
      <c r="I19" s="162">
        <f>+'NEW...Tables 91-112'!B269+'NEW...Tables 91-112'!C269</f>
        <v>76.262675801291735</v>
      </c>
      <c r="J19" s="157">
        <f>+'NEW...Tables 91-112'!B300+'NEW...Tables 91-112'!C300</f>
        <v>73.232356420028907</v>
      </c>
      <c r="K19" s="157">
        <f>+'NEW...Tables 91-112'!B331+'NEW...Tables 91-112'!C331</f>
        <v>76.630931604753599</v>
      </c>
      <c r="L19" s="157">
        <f>+'NEW...Tables 91-112'!B361+'NEW...Tables 91-112'!C361</f>
        <v>65.997534580633058</v>
      </c>
      <c r="M19" s="162">
        <f>+'NEW...Tables 91-112'!B238+'NEW...Tables 91-112'!C238</f>
        <v>72.050715684446104</v>
      </c>
      <c r="N19" s="165">
        <f>+'NEW...Tables 91-112'!B422+'NEW...Tables 91-112'!C422</f>
        <v>0</v>
      </c>
      <c r="O19" s="167">
        <f>+'NEW...Tables 91-112'!B452+'NEW...Tables 91-112'!C452</f>
        <v>0</v>
      </c>
      <c r="P19" s="170">
        <f>+'NEW...Tables 91-112'!B392+'NEW...Tables 91-112'!C392</f>
        <v>0</v>
      </c>
    </row>
    <row r="20" spans="1:40" ht="15.75" customHeight="1">
      <c r="A20" s="25" t="s">
        <v>186</v>
      </c>
      <c r="B20" s="157">
        <f>+'NEW...Tables 91-112'!B54+'NEW...Tables 91-112'!C54</f>
        <v>96.350307058936167</v>
      </c>
      <c r="C20" s="157">
        <f>+'NEW...Tables 91-112'!B85+'NEW...Tables 91-112'!C85</f>
        <v>0</v>
      </c>
      <c r="D20" s="157">
        <f>+'NEW...Tables 91-112'!B116+'NEW...Tables 91-112'!C116</f>
        <v>99.065680465410438</v>
      </c>
      <c r="E20" s="157">
        <f>+'NEW...Tables 91-112'!B147+'NEW...Tables 91-112'!C147</f>
        <v>99.291177445723633</v>
      </c>
      <c r="F20" s="157">
        <f>+'NEW...Tables 91-112'!B177+'NEW...Tables 91-112'!C177</f>
        <v>96.043160077998081</v>
      </c>
      <c r="G20" s="157">
        <f>+'NEW...Tables 91-112'!B208+'NEW...Tables 91-112'!C208</f>
        <v>93.888282517111577</v>
      </c>
      <c r="H20" s="160">
        <f>+'NEW...Tables 91-112'!B22+'NEW...Tables 91-112'!C22</f>
        <v>96.350307058936167</v>
      </c>
      <c r="I20" s="162">
        <f>+'NEW...Tables 91-112'!B270+'NEW...Tables 91-112'!C270</f>
        <v>0</v>
      </c>
      <c r="J20" s="157">
        <f>+'NEW...Tables 91-112'!B301+'NEW...Tables 91-112'!C301</f>
        <v>81.485113284882416</v>
      </c>
      <c r="K20" s="157">
        <f>+'NEW...Tables 91-112'!B332+'NEW...Tables 91-112'!C332</f>
        <v>80.034955562070138</v>
      </c>
      <c r="L20" s="157">
        <f>+'NEW...Tables 91-112'!B362+'NEW...Tables 91-112'!C362</f>
        <v>89.971020613356472</v>
      </c>
      <c r="M20" s="162">
        <f>+'NEW...Tables 91-112'!B239+'NEW...Tables 91-112'!C239</f>
        <v>81.825621053745138</v>
      </c>
      <c r="N20" s="165">
        <f>+'NEW...Tables 91-112'!B423+'NEW...Tables 91-112'!C423</f>
        <v>0</v>
      </c>
      <c r="O20" s="167">
        <f>+'NEW...Tables 91-112'!B453+'NEW...Tables 91-112'!C453</f>
        <v>0</v>
      </c>
      <c r="P20" s="170">
        <f>+'NEW...Tables 91-112'!B393+'NEW...Tables 91-112'!C393</f>
        <v>0</v>
      </c>
    </row>
    <row r="21" spans="1:40" ht="15.75" customHeight="1">
      <c r="A21" s="25"/>
      <c r="B21" s="157"/>
      <c r="C21" s="157"/>
      <c r="D21" s="157"/>
      <c r="E21" s="157"/>
      <c r="F21" s="157"/>
      <c r="G21" s="157"/>
      <c r="H21" s="160"/>
      <c r="I21" s="162"/>
      <c r="J21" s="157"/>
      <c r="K21" s="157"/>
      <c r="L21" s="157"/>
      <c r="M21" s="162"/>
      <c r="N21" s="165"/>
      <c r="O21" s="167"/>
      <c r="P21" s="170"/>
    </row>
    <row r="22" spans="1:40" ht="15.75" customHeight="1">
      <c r="A22" s="25" t="s">
        <v>187</v>
      </c>
      <c r="B22" s="157">
        <f>+'NEW...Tables 91-112'!B56+'NEW...Tables 91-112'!C56</f>
        <v>85.142114626510619</v>
      </c>
      <c r="C22" s="157">
        <f>+'NEW...Tables 91-112'!B87+'NEW...Tables 91-112'!C87</f>
        <v>91.790210019152184</v>
      </c>
      <c r="D22" s="157">
        <f>+'NEW...Tables 91-112'!B118+'NEW...Tables 91-112'!C118</f>
        <v>83.646569294995857</v>
      </c>
      <c r="E22" s="157">
        <f>+'NEW...Tables 91-112'!B149+'NEW...Tables 91-112'!C149</f>
        <v>0</v>
      </c>
      <c r="F22" s="157">
        <f>+'NEW...Tables 91-112'!B179+'NEW...Tables 91-112'!C179</f>
        <v>92.220704458971611</v>
      </c>
      <c r="G22" s="157">
        <f>+'NEW...Tables 91-112'!B210+'NEW...Tables 91-112'!C210</f>
        <v>0</v>
      </c>
      <c r="H22" s="160">
        <f>+'NEW...Tables 91-112'!B24+'NEW...Tables 91-112'!C24</f>
        <v>85.142114626510619</v>
      </c>
      <c r="I22" s="162">
        <f>+'NEW...Tables 91-112'!B272+'NEW...Tables 91-112'!C272</f>
        <v>0</v>
      </c>
      <c r="J22" s="157">
        <f>+'NEW...Tables 91-112'!B303+'NEW...Tables 91-112'!C303</f>
        <v>77.479419220011977</v>
      </c>
      <c r="K22" s="157">
        <f>+'NEW...Tables 91-112'!B334+'NEW...Tables 91-112'!C334</f>
        <v>74.783957306171089</v>
      </c>
      <c r="L22" s="157">
        <f>+'NEW...Tables 91-112'!B364+'NEW...Tables 91-112'!C364</f>
        <v>0</v>
      </c>
      <c r="M22" s="162">
        <f>+'NEW...Tables 91-112'!B241+'NEW...Tables 91-112'!C241</f>
        <v>76.276294658882648</v>
      </c>
      <c r="N22" s="165">
        <f>+'NEW...Tables 91-112'!B425+'NEW...Tables 91-112'!C425</f>
        <v>0</v>
      </c>
      <c r="O22" s="167">
        <f>+'NEW...Tables 91-112'!B455+'NEW...Tables 91-112'!C455</f>
        <v>0</v>
      </c>
      <c r="P22" s="170">
        <f>+'NEW...Tables 91-112'!B395+'NEW...Tables 91-112'!C395</f>
        <v>0</v>
      </c>
    </row>
    <row r="23" spans="1:40" ht="15.75" customHeight="1">
      <c r="A23" s="25" t="s">
        <v>188</v>
      </c>
      <c r="B23" s="157">
        <f>+'NEW...Tables 91-112'!B57+'NEW...Tables 91-112'!C57</f>
        <v>90.151116535783103</v>
      </c>
      <c r="C23" s="157">
        <f>+'NEW...Tables 91-112'!B88+'NEW...Tables 91-112'!C88</f>
        <v>90.875711662523202</v>
      </c>
      <c r="D23" s="157">
        <f>+'NEW...Tables 91-112'!B119+'NEW...Tables 91-112'!C119</f>
        <v>90.351494682383361</v>
      </c>
      <c r="E23" s="157">
        <f>+'NEW...Tables 91-112'!B150+'NEW...Tables 91-112'!C150</f>
        <v>51.570861858660898</v>
      </c>
      <c r="F23" s="157">
        <f>+'NEW...Tables 91-112'!B180+'NEW...Tables 91-112'!C180</f>
        <v>73.799561945411668</v>
      </c>
      <c r="G23" s="157">
        <f>+'NEW...Tables 91-112'!B211+'NEW...Tables 91-112'!C211</f>
        <v>100</v>
      </c>
      <c r="H23" s="160">
        <f>+'NEW...Tables 91-112'!B25+'NEW...Tables 91-112'!C25</f>
        <v>90.151116535783103</v>
      </c>
      <c r="I23" s="162">
        <f>+'NEW...Tables 91-112'!B273+'NEW...Tables 91-112'!C273</f>
        <v>80.68219852808069</v>
      </c>
      <c r="J23" s="157">
        <f>+'NEW...Tables 91-112'!B304+'NEW...Tables 91-112'!C304</f>
        <v>82.410938798016986</v>
      </c>
      <c r="K23" s="157">
        <f>+'NEW...Tables 91-112'!B335+'NEW...Tables 91-112'!C335</f>
        <v>77.858316300057524</v>
      </c>
      <c r="L23" s="157">
        <f>+'NEW...Tables 91-112'!B365+'NEW...Tables 91-112'!C365</f>
        <v>75.573491520209203</v>
      </c>
      <c r="M23" s="162">
        <f>+'NEW...Tables 91-112'!B242+'NEW...Tables 91-112'!C242</f>
        <v>81.39801944839023</v>
      </c>
      <c r="N23" s="165">
        <f>+'NEW...Tables 91-112'!B426+'NEW...Tables 91-112'!C426</f>
        <v>0</v>
      </c>
      <c r="O23" s="167">
        <f>+'NEW...Tables 91-112'!B456+'NEW...Tables 91-112'!C456</f>
        <v>0</v>
      </c>
      <c r="P23" s="170">
        <f>+'NEW...Tables 91-112'!B396+'NEW...Tables 91-112'!C396</f>
        <v>0</v>
      </c>
    </row>
    <row r="24" spans="1:40" ht="15.75" customHeight="1">
      <c r="A24" s="25" t="s">
        <v>189</v>
      </c>
      <c r="B24" s="157">
        <f>+'NEW...Tables 91-112'!B58+'NEW...Tables 91-112'!C58</f>
        <v>96.132354351254364</v>
      </c>
      <c r="C24" s="157">
        <f>+'NEW...Tables 91-112'!B89+'NEW...Tables 91-112'!C89</f>
        <v>97.058778993528222</v>
      </c>
      <c r="D24" s="157">
        <f>+'NEW...Tables 91-112'!B120+'NEW...Tables 91-112'!C120</f>
        <v>94.246381673190911</v>
      </c>
      <c r="E24" s="157">
        <f>+'NEW...Tables 91-112'!B151+'NEW...Tables 91-112'!C151</f>
        <v>99.492536487769797</v>
      </c>
      <c r="F24" s="157">
        <f>+'NEW...Tables 91-112'!B181+'NEW...Tables 91-112'!C181</f>
        <v>95.227275416858973</v>
      </c>
      <c r="G24" s="157">
        <f>+'NEW...Tables 91-112'!B212+'NEW...Tables 91-112'!C212</f>
        <v>96.665231515910605</v>
      </c>
      <c r="H24" s="160">
        <f>+'NEW...Tables 91-112'!B26+'NEW...Tables 91-112'!C26</f>
        <v>96.132354351254364</v>
      </c>
      <c r="I24" s="162">
        <f>+'NEW...Tables 91-112'!B274+'NEW...Tables 91-112'!C274</f>
        <v>0</v>
      </c>
      <c r="J24" s="157">
        <f>+'NEW...Tables 91-112'!B305+'NEW...Tables 91-112'!C305</f>
        <v>76.338055111168856</v>
      </c>
      <c r="K24" s="157">
        <f>+'NEW...Tables 91-112'!B336+'NEW...Tables 91-112'!C336</f>
        <v>71.175163596699221</v>
      </c>
      <c r="L24" s="157">
        <f>+'NEW...Tables 91-112'!B366+'NEW...Tables 91-112'!C366</f>
        <v>74.946281973444556</v>
      </c>
      <c r="M24" s="162">
        <f>+'NEW...Tables 91-112'!B243+'NEW...Tables 91-112'!C243</f>
        <v>74.468070410785856</v>
      </c>
      <c r="N24" s="165">
        <f>+'NEW...Tables 91-112'!B427+'NEW...Tables 91-112'!C427</f>
        <v>0</v>
      </c>
      <c r="O24" s="167">
        <f>+'NEW...Tables 91-112'!B457+'NEW...Tables 91-112'!C457</f>
        <v>0</v>
      </c>
      <c r="P24" s="170">
        <f>+'NEW...Tables 91-112'!B397+'NEW...Tables 91-112'!C397</f>
        <v>0</v>
      </c>
      <c r="R24" s="213"/>
      <c r="S24" s="213"/>
      <c r="T24" s="213"/>
      <c r="U24" s="213"/>
      <c r="V24" s="213"/>
      <c r="W24" s="213"/>
      <c r="X24" s="213"/>
      <c r="Y24" s="213"/>
    </row>
    <row r="25" spans="1:40" ht="15.75" customHeight="1">
      <c r="A25" s="42" t="s">
        <v>190</v>
      </c>
      <c r="B25" s="158">
        <f>+'NEW...Tables 91-112'!B59+'NEW...Tables 91-112'!C59</f>
        <v>90.11473673939679</v>
      </c>
      <c r="C25" s="158">
        <f>+'NEW...Tables 91-112'!B90+'NEW...Tables 91-112'!C90</f>
        <v>0</v>
      </c>
      <c r="D25" s="158">
        <f>+'NEW...Tables 91-112'!B121+'NEW...Tables 91-112'!C121</f>
        <v>85.824042727060473</v>
      </c>
      <c r="E25" s="158">
        <f>+'NEW...Tables 91-112'!B152+'NEW...Tables 91-112'!C152</f>
        <v>0</v>
      </c>
      <c r="F25" s="158">
        <f>+'NEW...Tables 91-112'!B182+'NEW...Tables 91-112'!C182</f>
        <v>93.148676065355346</v>
      </c>
      <c r="G25" s="158">
        <f>+'NEW...Tables 91-112'!B213+'NEW...Tables 91-112'!C213</f>
        <v>86.467988101526245</v>
      </c>
      <c r="H25" s="161">
        <f>+'NEW...Tables 91-112'!B27+'NEW...Tables 91-112'!C27</f>
        <v>90.11473673939679</v>
      </c>
      <c r="I25" s="163">
        <f>+'NEW...Tables 91-112'!B275+'NEW...Tables 91-112'!C275</f>
        <v>78.872016477525136</v>
      </c>
      <c r="J25" s="158">
        <f>+'NEW...Tables 91-112'!B306+'NEW...Tables 91-112'!C306</f>
        <v>0</v>
      </c>
      <c r="K25" s="158">
        <f>+'NEW...Tables 91-112'!B337+'NEW...Tables 91-112'!C337</f>
        <v>75.70675076047219</v>
      </c>
      <c r="L25" s="158">
        <f>+'NEW...Tables 91-112'!B367+'NEW...Tables 91-112'!C367</f>
        <v>81.356743771170898</v>
      </c>
      <c r="M25" s="163">
        <f>+'NEW...Tables 91-112'!B244+'NEW...Tables 91-112'!C244</f>
        <v>80.035170989056027</v>
      </c>
      <c r="N25" s="166">
        <f>+'NEW...Tables 91-112'!B428+'NEW...Tables 91-112'!C428</f>
        <v>0</v>
      </c>
      <c r="O25" s="168">
        <f>+'NEW...Tables 91-112'!B458+'NEW...Tables 91-112'!C458</f>
        <v>0</v>
      </c>
      <c r="P25" s="171">
        <f>+'NEW...Tables 91-112'!B398+'NEW...Tables 91-112'!C398</f>
        <v>0</v>
      </c>
      <c r="R25" s="227"/>
      <c r="S25" s="227"/>
      <c r="T25" s="227"/>
      <c r="U25" s="228"/>
      <c r="V25" s="228"/>
      <c r="W25" s="228"/>
      <c r="X25" s="213"/>
      <c r="Y25" s="213"/>
    </row>
    <row r="26" spans="1:40" s="44" customFormat="1" ht="13.5" customHeight="1">
      <c r="A26" s="43" t="s">
        <v>191</v>
      </c>
      <c r="H26" s="45"/>
      <c r="J26" s="46"/>
      <c r="M26" s="46"/>
      <c r="P26" s="45"/>
      <c r="R26" s="45"/>
      <c r="S26" s="45"/>
      <c r="T26" s="45"/>
      <c r="U26" s="45"/>
      <c r="V26" s="45"/>
      <c r="W26" s="45"/>
      <c r="X26" s="45"/>
      <c r="Y26" s="45"/>
    </row>
    <row r="27" spans="1:40" s="44" customFormat="1" ht="11.25">
      <c r="A27" s="47"/>
      <c r="H27" s="45"/>
      <c r="J27" s="46"/>
      <c r="M27" s="46"/>
      <c r="P27" s="45"/>
      <c r="R27" s="45"/>
      <c r="S27" s="45"/>
      <c r="T27" s="45"/>
      <c r="U27" s="45"/>
      <c r="V27" s="45"/>
      <c r="W27" s="45"/>
      <c r="X27" s="45"/>
      <c r="Y27" s="45"/>
    </row>
    <row r="28" spans="1:40" s="44" customFormat="1" ht="11.25">
      <c r="H28" s="45"/>
      <c r="M28" s="48"/>
      <c r="P28" s="49" t="s">
        <v>900</v>
      </c>
      <c r="R28" s="45"/>
      <c r="S28" s="45"/>
      <c r="T28" s="45"/>
      <c r="U28" s="45"/>
      <c r="V28" s="45"/>
      <c r="W28" s="45"/>
      <c r="X28" s="45"/>
      <c r="Y28" s="45"/>
    </row>
    <row r="29" spans="1:40" ht="18">
      <c r="A29" s="641" t="s">
        <v>192</v>
      </c>
      <c r="B29" s="641"/>
      <c r="C29" s="641"/>
      <c r="D29" s="641"/>
      <c r="E29" s="641"/>
      <c r="F29" s="641"/>
      <c r="G29" s="641"/>
      <c r="H29" s="641"/>
      <c r="I29" s="641"/>
      <c r="J29" s="641"/>
      <c r="K29" s="641"/>
      <c r="L29" s="641"/>
      <c r="M29" s="641"/>
      <c r="N29" s="641"/>
      <c r="O29" s="641"/>
      <c r="P29" s="641"/>
      <c r="R29" s="213"/>
      <c r="S29" s="213"/>
      <c r="T29" s="213"/>
      <c r="U29" s="213"/>
      <c r="V29" s="213"/>
      <c r="W29" s="213"/>
      <c r="X29" s="213"/>
      <c r="Y29" s="213"/>
    </row>
    <row r="30" spans="1:40" s="25" customFormat="1" ht="12.75">
      <c r="A30" s="22"/>
      <c r="B30" s="21"/>
      <c r="C30" s="21"/>
      <c r="D30" s="21"/>
      <c r="E30" s="21"/>
      <c r="F30" s="21"/>
      <c r="G30" s="21"/>
      <c r="H30" s="23"/>
      <c r="I30" s="21"/>
      <c r="J30" s="21"/>
      <c r="K30" s="21"/>
      <c r="L30" s="21"/>
      <c r="M30" s="24"/>
      <c r="P30" s="50"/>
      <c r="R30" s="50"/>
      <c r="S30" s="50"/>
      <c r="T30" s="50"/>
      <c r="U30" s="50"/>
      <c r="V30" s="50"/>
      <c r="W30" s="50"/>
      <c r="X30" s="50"/>
      <c r="Y30" s="50"/>
    </row>
    <row r="31" spans="1:40" ht="15.75">
      <c r="A31" s="642" t="s">
        <v>898</v>
      </c>
      <c r="B31" s="642"/>
      <c r="C31" s="642"/>
      <c r="D31" s="642"/>
      <c r="E31" s="642"/>
      <c r="F31" s="642"/>
      <c r="G31" s="642"/>
      <c r="H31" s="642"/>
      <c r="I31" s="642"/>
      <c r="J31" s="642"/>
      <c r="K31" s="642"/>
      <c r="L31" s="642"/>
      <c r="M31" s="642"/>
      <c r="N31" s="642"/>
      <c r="O31" s="642"/>
      <c r="P31" s="642"/>
      <c r="Q31" s="52"/>
      <c r="R31" s="229"/>
      <c r="S31" s="102"/>
      <c r="T31" s="102"/>
      <c r="U31" s="102"/>
      <c r="V31" s="102"/>
      <c r="W31" s="102"/>
      <c r="X31" s="102"/>
      <c r="Y31" s="102"/>
      <c r="Z31" s="212"/>
      <c r="AA31" s="212"/>
      <c r="AB31" s="212"/>
    </row>
    <row r="32" spans="1:40" s="25" customFormat="1" ht="9.75" customHeight="1">
      <c r="A32" s="216"/>
      <c r="B32" s="21"/>
      <c r="C32" s="21"/>
      <c r="D32" s="21"/>
      <c r="E32" s="21"/>
      <c r="F32" s="21"/>
      <c r="G32" s="21"/>
      <c r="H32" s="23"/>
      <c r="I32" s="21"/>
      <c r="J32" s="21"/>
      <c r="K32" s="21"/>
      <c r="L32" s="21"/>
      <c r="M32" s="24"/>
      <c r="P32" s="50"/>
      <c r="Q32" s="52"/>
      <c r="R32" s="102"/>
      <c r="S32" s="102"/>
      <c r="T32" s="102"/>
      <c r="U32" s="102"/>
      <c r="V32" s="102"/>
      <c r="W32" s="102"/>
      <c r="X32" s="102"/>
      <c r="Y32" s="102"/>
      <c r="Z32" s="52"/>
      <c r="AA32" s="52"/>
      <c r="AB32" s="52"/>
      <c r="AC32" s="52"/>
      <c r="AD32" s="52"/>
      <c r="AE32" s="52"/>
      <c r="AF32" s="52"/>
      <c r="AG32" s="52"/>
      <c r="AH32" s="52"/>
      <c r="AI32" s="52"/>
      <c r="AJ32" s="52"/>
      <c r="AK32" s="52"/>
      <c r="AL32" s="52"/>
      <c r="AM32" s="52"/>
      <c r="AN32" s="52"/>
    </row>
    <row r="33" spans="1:41" s="34" customFormat="1" ht="18" customHeight="1">
      <c r="A33" s="263"/>
      <c r="B33" s="265" t="s">
        <v>87</v>
      </c>
      <c r="C33" s="265"/>
      <c r="D33" s="265"/>
      <c r="E33" s="265"/>
      <c r="F33" s="265"/>
      <c r="G33" s="265"/>
      <c r="H33" s="91"/>
      <c r="I33" s="264" t="s">
        <v>88</v>
      </c>
      <c r="J33" s="265"/>
      <c r="K33" s="265"/>
      <c r="L33" s="265"/>
      <c r="M33" s="265"/>
      <c r="N33" s="264" t="s">
        <v>89</v>
      </c>
      <c r="O33" s="265"/>
      <c r="P33" s="81"/>
      <c r="Q33" s="225" t="s">
        <v>235</v>
      </c>
      <c r="R33" s="226"/>
      <c r="S33" s="226"/>
      <c r="T33" s="229"/>
      <c r="U33" s="229"/>
      <c r="V33" s="229"/>
      <c r="W33" s="229"/>
      <c r="X33" s="229"/>
      <c r="Y33" s="229"/>
      <c r="Z33" s="229"/>
      <c r="AA33" s="229"/>
      <c r="AB33" s="229"/>
      <c r="AC33" s="229"/>
      <c r="AD33" s="229"/>
      <c r="AE33" s="229"/>
      <c r="AF33" s="229"/>
      <c r="AG33" s="229"/>
      <c r="AH33" s="229"/>
      <c r="AI33" s="229"/>
      <c r="AJ33" s="229"/>
      <c r="AK33" s="229"/>
      <c r="AL33" s="229"/>
      <c r="AM33" s="229"/>
      <c r="AN33" s="229"/>
      <c r="AO33" s="62"/>
    </row>
    <row r="34" spans="1:41" s="41" customFormat="1" ht="26.25" customHeight="1">
      <c r="A34" s="266"/>
      <c r="B34" s="267">
        <v>1</v>
      </c>
      <c r="C34" s="267">
        <v>2</v>
      </c>
      <c r="D34" s="267">
        <v>3</v>
      </c>
      <c r="E34" s="267">
        <v>4</v>
      </c>
      <c r="F34" s="267">
        <v>5</v>
      </c>
      <c r="G34" s="267">
        <v>6</v>
      </c>
      <c r="H34" s="268" t="s">
        <v>173</v>
      </c>
      <c r="I34" s="269" t="s">
        <v>174</v>
      </c>
      <c r="J34" s="267">
        <v>1</v>
      </c>
      <c r="K34" s="267">
        <v>2</v>
      </c>
      <c r="L34" s="267">
        <v>3</v>
      </c>
      <c r="M34" s="270" t="s">
        <v>173</v>
      </c>
      <c r="N34" s="270">
        <v>1</v>
      </c>
      <c r="O34" s="267">
        <v>2</v>
      </c>
      <c r="P34" s="262" t="s">
        <v>173</v>
      </c>
      <c r="Q34" s="225" t="s">
        <v>236</v>
      </c>
      <c r="R34" s="225" t="s">
        <v>237</v>
      </c>
      <c r="S34" s="225" t="s">
        <v>230</v>
      </c>
      <c r="T34" s="230"/>
      <c r="U34" s="230"/>
      <c r="V34" s="230"/>
      <c r="W34" s="230"/>
      <c r="X34" s="230"/>
      <c r="Y34" s="230"/>
      <c r="Z34" s="230"/>
      <c r="AA34" s="230"/>
      <c r="AB34" s="230"/>
      <c r="AC34" s="230"/>
      <c r="AD34" s="230"/>
      <c r="AE34" s="230"/>
      <c r="AF34" s="230"/>
      <c r="AG34" s="230"/>
      <c r="AH34" s="230"/>
      <c r="AI34" s="230"/>
      <c r="AJ34" s="230"/>
      <c r="AK34" s="230"/>
      <c r="AL34" s="230"/>
      <c r="AM34" s="230"/>
      <c r="AN34" s="230"/>
      <c r="AO34" s="63"/>
    </row>
    <row r="35" spans="1:41" ht="15.75" customHeight="1">
      <c r="A35" s="25" t="s">
        <v>175</v>
      </c>
      <c r="B35" s="271">
        <f>+'NEW...Tables 91-112'!D41</f>
        <v>11.761273629661424</v>
      </c>
      <c r="C35" s="271">
        <f>+'NEW...Tables 91-112'!D72</f>
        <v>1.6359681301566464</v>
      </c>
      <c r="D35" s="271">
        <f>+'NEW...Tables 91-112'!D103</f>
        <v>20.509741416861363</v>
      </c>
      <c r="E35" s="271">
        <f>+'NEW...Tables 91-112'!D134</f>
        <v>9.939131179133863</v>
      </c>
      <c r="F35" s="271">
        <f>+'NEW...Tables 91-112'!D164</f>
        <v>4.606592067716182</v>
      </c>
      <c r="G35" s="271">
        <f>+'NEW...Tables 91-112'!D195</f>
        <v>71.360061608830591</v>
      </c>
      <c r="H35" s="272">
        <f>+'NEW...Tables 91-112'!D9</f>
        <v>11.761273629661424</v>
      </c>
      <c r="I35" s="273">
        <f>+'NEW...Tables 91-112'!D257</f>
        <v>0</v>
      </c>
      <c r="J35" s="271">
        <f>+'NEW...Tables 91-112'!D288</f>
        <v>20.353689643639775</v>
      </c>
      <c r="K35" s="271">
        <f>+'NEW...Tables 91-112'!D319</f>
        <v>14.864210538211513</v>
      </c>
      <c r="L35" s="271">
        <f>+'NEW...Tables 91-112'!D349</f>
        <v>22.769361161139951</v>
      </c>
      <c r="M35" s="273">
        <f>+'NEW...Tables 91-112'!D226</f>
        <v>17.834154644558605</v>
      </c>
      <c r="N35" s="274">
        <f>+'NEW...Tables 91-112'!D410</f>
        <v>6.8724495979960398</v>
      </c>
      <c r="O35" s="275">
        <f>+'NEW...Tables 91-112'!D440</f>
        <v>12.136925258253999</v>
      </c>
      <c r="P35" s="276">
        <f>+'NEW...Tables 91-112'!D380</f>
        <v>10.027760466829076</v>
      </c>
      <c r="Q35" s="147">
        <f>+'NEW...Tables 87-90'!H35-OLD...Tables!H35</f>
        <v>1.7621032143340649</v>
      </c>
      <c r="R35" s="147">
        <f>+'NEW...Tables 87-90'!M35-OLD...Tables!M35</f>
        <v>1.3144944235259217</v>
      </c>
      <c r="S35" s="147">
        <f>+'NEW...Tables 87-90'!P35-OLD...Tables!P35</f>
        <v>2.127069272581795</v>
      </c>
      <c r="T35" s="125"/>
      <c r="U35" s="231"/>
      <c r="V35" s="231"/>
      <c r="W35" s="231"/>
      <c r="X35" s="102"/>
      <c r="Y35" s="125"/>
      <c r="Z35" s="125"/>
      <c r="AA35" s="125"/>
      <c r="AB35" s="232"/>
      <c r="AC35" s="102"/>
      <c r="AD35" s="125"/>
      <c r="AE35" s="125"/>
      <c r="AF35" s="125"/>
      <c r="AG35" s="231"/>
      <c r="AH35" s="231"/>
      <c r="AI35" s="231"/>
      <c r="AJ35" s="102"/>
      <c r="AK35" s="125"/>
      <c r="AL35" s="125"/>
      <c r="AM35" s="125"/>
      <c r="AN35" s="232"/>
      <c r="AO35" s="213"/>
    </row>
    <row r="36" spans="1:41" ht="15.75" customHeight="1">
      <c r="A36" s="25" t="s">
        <v>176</v>
      </c>
      <c r="B36" s="271">
        <f>+'NEW...Tables 91-112'!D42</f>
        <v>11.758857468453051</v>
      </c>
      <c r="C36" s="271">
        <f>+'NEW...Tables 91-112'!D73</f>
        <v>0</v>
      </c>
      <c r="D36" s="271">
        <f>+'NEW...Tables 91-112'!D104</f>
        <v>16.274353800815987</v>
      </c>
      <c r="E36" s="271">
        <f>+'NEW...Tables 91-112'!D135</f>
        <v>13.765692574370107</v>
      </c>
      <c r="F36" s="271">
        <f>+'NEW...Tables 91-112'!D165</f>
        <v>16.412044109885837</v>
      </c>
      <c r="G36" s="271">
        <f>+'NEW...Tables 91-112'!D196</f>
        <v>11.559249929631914</v>
      </c>
      <c r="H36" s="272">
        <f>+'NEW...Tables 91-112'!D10</f>
        <v>11.758857468453051</v>
      </c>
      <c r="I36" s="273">
        <f>+'NEW...Tables 91-112'!D258</f>
        <v>0</v>
      </c>
      <c r="J36" s="271">
        <f>+'NEW...Tables 91-112'!D289</f>
        <v>27.850297422339722</v>
      </c>
      <c r="K36" s="271">
        <f>+'NEW...Tables 91-112'!D320</f>
        <v>17.894927817950911</v>
      </c>
      <c r="L36" s="271">
        <f>+'NEW...Tables 91-112'!D350</f>
        <v>18.97685052872249</v>
      </c>
      <c r="M36" s="273">
        <f>+'NEW...Tables 91-112'!D227</f>
        <v>21.673469959475131</v>
      </c>
      <c r="N36" s="274">
        <f>+'NEW...Tables 91-112'!D411</f>
        <v>0</v>
      </c>
      <c r="O36" s="275">
        <f>+'NEW...Tables 91-112'!D441</f>
        <v>0</v>
      </c>
      <c r="P36" s="276">
        <f>+'NEW...Tables 91-112'!D381</f>
        <v>0</v>
      </c>
      <c r="Q36" s="147">
        <f>+'NEW...Tables 87-90'!H36-OLD...Tables!H36</f>
        <v>0.74579407639155093</v>
      </c>
      <c r="R36" s="147">
        <f>+'NEW...Tables 87-90'!M36-OLD...Tables!M36</f>
        <v>1.3120580946262628</v>
      </c>
      <c r="S36" s="147">
        <f>+'NEW...Tables 87-90'!P36-OLD...Tables!P36</f>
        <v>0</v>
      </c>
      <c r="T36" s="125"/>
      <c r="U36" s="231"/>
      <c r="V36" s="231"/>
      <c r="W36" s="231"/>
      <c r="X36" s="102"/>
      <c r="Y36" s="125"/>
      <c r="Z36" s="125"/>
      <c r="AA36" s="125"/>
      <c r="AB36" s="232"/>
      <c r="AC36" s="102"/>
      <c r="AD36" s="125"/>
      <c r="AE36" s="125"/>
      <c r="AF36" s="125"/>
      <c r="AG36" s="231"/>
      <c r="AH36" s="231"/>
      <c r="AI36" s="231"/>
      <c r="AJ36" s="102"/>
      <c r="AK36" s="125"/>
      <c r="AL36" s="125"/>
      <c r="AM36" s="125"/>
      <c r="AN36" s="232"/>
      <c r="AO36" s="213"/>
    </row>
    <row r="37" spans="1:41" ht="15.75" customHeight="1">
      <c r="A37" s="25" t="s">
        <v>177</v>
      </c>
      <c r="B37" s="271">
        <f>+'NEW...Tables 91-112'!D43</f>
        <v>2.7960273566776559</v>
      </c>
      <c r="C37" s="271">
        <f>+'NEW...Tables 91-112'!D74</f>
        <v>0</v>
      </c>
      <c r="D37" s="271">
        <f>+'NEW...Tables 91-112'!D105</f>
        <v>0</v>
      </c>
      <c r="E37" s="271">
        <f>+'NEW...Tables 91-112'!D136</f>
        <v>1.6389251832074077</v>
      </c>
      <c r="F37" s="271">
        <f>+'NEW...Tables 91-112'!D166</f>
        <v>0</v>
      </c>
      <c r="G37" s="271">
        <f>+'NEW...Tables 91-112'!D197</f>
        <v>0</v>
      </c>
      <c r="H37" s="272">
        <f>+'NEW...Tables 91-112'!D11</f>
        <v>2.7960273566776559</v>
      </c>
      <c r="I37" s="273">
        <f>+'NEW...Tables 91-112'!D259</f>
        <v>0</v>
      </c>
      <c r="J37" s="271">
        <f>+'NEW...Tables 91-112'!D290</f>
        <v>13.294918606420204</v>
      </c>
      <c r="K37" s="271">
        <f>+'NEW...Tables 91-112'!D321</f>
        <v>19.037523494137652</v>
      </c>
      <c r="L37" s="271">
        <f>+'NEW...Tables 91-112'!D351</f>
        <v>0</v>
      </c>
      <c r="M37" s="273">
        <f>+'NEW...Tables 91-112'!D228</f>
        <v>16.34553666944015</v>
      </c>
      <c r="N37" s="274">
        <f>+'NEW...Tables 91-112'!D412</f>
        <v>0</v>
      </c>
      <c r="O37" s="275">
        <f>+'NEW...Tables 91-112'!D442</f>
        <v>0</v>
      </c>
      <c r="P37" s="276">
        <f>+'NEW...Tables 91-112'!D382</f>
        <v>0</v>
      </c>
      <c r="Q37" s="147">
        <f>+'NEW...Tables 87-90'!H37-OLD...Tables!H37</f>
        <v>-0.12982710418242105</v>
      </c>
      <c r="R37" s="147">
        <f>+'NEW...Tables 87-90'!M37-OLD...Tables!M37</f>
        <v>2.5382184530843528</v>
      </c>
      <c r="S37" s="147">
        <f>+'NEW...Tables 87-90'!P37-OLD...Tables!P37</f>
        <v>0</v>
      </c>
      <c r="T37" s="125"/>
      <c r="U37" s="231"/>
      <c r="V37" s="233"/>
      <c r="W37" s="231"/>
      <c r="X37" s="102"/>
      <c r="Y37" s="125"/>
      <c r="Z37" s="125"/>
      <c r="AA37" s="125"/>
      <c r="AB37" s="232"/>
      <c r="AC37" s="102"/>
      <c r="AD37" s="125"/>
      <c r="AE37" s="125"/>
      <c r="AF37" s="125"/>
      <c r="AG37" s="231"/>
      <c r="AH37" s="231"/>
      <c r="AI37" s="231"/>
      <c r="AJ37" s="102"/>
      <c r="AK37" s="125"/>
      <c r="AL37" s="125"/>
      <c r="AM37" s="125"/>
      <c r="AN37" s="232"/>
      <c r="AO37" s="213"/>
    </row>
    <row r="38" spans="1:41" ht="15.75" customHeight="1">
      <c r="A38" s="25" t="s">
        <v>193</v>
      </c>
      <c r="B38" s="271">
        <f>+'NEW...Tables 91-112'!D44</f>
        <v>18.258055420667613</v>
      </c>
      <c r="C38" s="271">
        <f>+'NEW...Tables 91-112'!D75</f>
        <v>7.4655189376947924</v>
      </c>
      <c r="D38" s="271">
        <f>+'NEW...Tables 91-112'!D106</f>
        <v>14.825360125735514</v>
      </c>
      <c r="E38" s="271">
        <f>+'NEW...Tables 91-112'!D137</f>
        <v>17.380260116508353</v>
      </c>
      <c r="F38" s="271">
        <f>+'NEW...Tables 91-112'!D167</f>
        <v>0</v>
      </c>
      <c r="G38" s="271">
        <f>+'NEW...Tables 91-112'!D198</f>
        <v>0</v>
      </c>
      <c r="H38" s="272">
        <f>+'NEW...Tables 91-112'!D12</f>
        <v>18.258055420667613</v>
      </c>
      <c r="I38" s="273">
        <f>+'NEW...Tables 91-112'!D260</f>
        <v>31.517704573236667</v>
      </c>
      <c r="J38" s="271">
        <f>+'NEW...Tables 91-112'!D291</f>
        <v>26.446370263001597</v>
      </c>
      <c r="K38" s="271">
        <f>+'NEW...Tables 91-112'!D322</f>
        <v>31.502038127393256</v>
      </c>
      <c r="L38" s="271">
        <f>+'NEW...Tables 91-112'!D352</f>
        <v>57.576038920043089</v>
      </c>
      <c r="M38" s="273">
        <f>+'NEW...Tables 91-112'!D229</f>
        <v>28.909177287797021</v>
      </c>
      <c r="N38" s="274">
        <f>+'NEW...Tables 91-112'!D413</f>
        <v>0</v>
      </c>
      <c r="O38" s="275">
        <f>+'NEW...Tables 91-112'!D443</f>
        <v>0</v>
      </c>
      <c r="P38" s="276">
        <f>+'NEW...Tables 91-112'!D383</f>
        <v>0</v>
      </c>
      <c r="Q38" s="147">
        <f>+'NEW...Tables 87-90'!H38-OLD...Tables!H38</f>
        <v>0.75558515712881658</v>
      </c>
      <c r="R38" s="147">
        <f>+'NEW...Tables 87-90'!M38-OLD...Tables!M38</f>
        <v>6.6152095567173532</v>
      </c>
      <c r="S38" s="147">
        <f>+'NEW...Tables 87-90'!P38-OLD...Tables!P38</f>
        <v>0</v>
      </c>
      <c r="T38" s="125"/>
      <c r="U38" s="231"/>
      <c r="V38" s="231"/>
      <c r="W38" s="231"/>
      <c r="X38" s="102"/>
      <c r="Y38" s="125"/>
      <c r="Z38" s="125"/>
      <c r="AA38" s="125"/>
      <c r="AB38" s="232"/>
      <c r="AC38" s="102"/>
      <c r="AD38" s="125"/>
      <c r="AE38" s="125"/>
      <c r="AF38" s="125"/>
      <c r="AG38" s="231"/>
      <c r="AH38" s="231"/>
      <c r="AI38" s="231"/>
      <c r="AJ38" s="102"/>
      <c r="AK38" s="125"/>
      <c r="AL38" s="125"/>
      <c r="AM38" s="125"/>
      <c r="AN38" s="232"/>
      <c r="AO38" s="213"/>
    </row>
    <row r="39" spans="1:41" ht="15.75" customHeight="1">
      <c r="A39" s="25"/>
      <c r="B39" s="271"/>
      <c r="C39" s="271"/>
      <c r="D39" s="271"/>
      <c r="E39" s="271"/>
      <c r="F39" s="271"/>
      <c r="G39" s="271"/>
      <c r="H39" s="272"/>
      <c r="I39" s="273"/>
      <c r="J39" s="271"/>
      <c r="K39" s="271"/>
      <c r="L39" s="271"/>
      <c r="M39" s="273"/>
      <c r="N39" s="274"/>
      <c r="O39" s="275"/>
      <c r="P39" s="276"/>
      <c r="Q39" s="147"/>
      <c r="R39" s="147"/>
      <c r="S39" s="147"/>
      <c r="T39" s="125"/>
      <c r="U39" s="231"/>
      <c r="V39" s="231"/>
      <c r="W39" s="231"/>
      <c r="X39" s="102"/>
      <c r="Y39" s="125"/>
      <c r="Z39" s="125"/>
      <c r="AA39" s="125"/>
      <c r="AB39" s="232"/>
      <c r="AC39" s="102"/>
      <c r="AD39" s="125"/>
      <c r="AE39" s="125"/>
      <c r="AF39" s="125"/>
      <c r="AG39" s="231"/>
      <c r="AH39" s="231"/>
      <c r="AI39" s="231"/>
      <c r="AJ39" s="102"/>
      <c r="AK39" s="125"/>
      <c r="AL39" s="125"/>
      <c r="AM39" s="125"/>
      <c r="AN39" s="232"/>
      <c r="AO39" s="213"/>
    </row>
    <row r="40" spans="1:41" ht="15.75" customHeight="1">
      <c r="A40" s="25" t="s">
        <v>179</v>
      </c>
      <c r="B40" s="271">
        <f>+'NEW...Tables 91-112'!D46</f>
        <v>0</v>
      </c>
      <c r="C40" s="271">
        <f>+'NEW...Tables 91-112'!D77</f>
        <v>0</v>
      </c>
      <c r="D40" s="271">
        <f>+'NEW...Tables 91-112'!D108</f>
        <v>0</v>
      </c>
      <c r="E40" s="271">
        <f>+'NEW...Tables 91-112'!D139</f>
        <v>0</v>
      </c>
      <c r="F40" s="271">
        <f>+'NEW...Tables 91-112'!D169</f>
        <v>0</v>
      </c>
      <c r="G40" s="271">
        <f>+'NEW...Tables 91-112'!D200</f>
        <v>0</v>
      </c>
      <c r="H40" s="272">
        <f>+'NEW...Tables 91-112'!D14</f>
        <v>0</v>
      </c>
      <c r="I40" s="273">
        <f>+'NEW...Tables 91-112'!D262</f>
        <v>0</v>
      </c>
      <c r="J40" s="271">
        <f>+'NEW...Tables 91-112'!D293</f>
        <v>0</v>
      </c>
      <c r="K40" s="271">
        <f>+'NEW...Tables 91-112'!D324</f>
        <v>0</v>
      </c>
      <c r="L40" s="271">
        <f>+'NEW...Tables 91-112'!D354</f>
        <v>0</v>
      </c>
      <c r="M40" s="273">
        <f>+'NEW...Tables 91-112'!D231</f>
        <v>0</v>
      </c>
      <c r="N40" s="274">
        <f>+'NEW...Tables 91-112'!D415</f>
        <v>22.455334369223014</v>
      </c>
      <c r="O40" s="275">
        <f>+'NEW...Tables 91-112'!D445</f>
        <v>0</v>
      </c>
      <c r="P40" s="276">
        <f>+'NEW...Tables 91-112'!D385</f>
        <v>22.455334369223014</v>
      </c>
      <c r="Q40" s="147">
        <f>+'NEW...Tables 87-90'!H40-OLD...Tables!H40</f>
        <v>0</v>
      </c>
      <c r="R40" s="147">
        <f>+'NEW...Tables 87-90'!M40-OLD...Tables!M40</f>
        <v>0</v>
      </c>
      <c r="S40" s="147">
        <f>+'NEW...Tables 87-90'!P40-OLD...Tables!P40</f>
        <v>2.4793955608267026</v>
      </c>
      <c r="T40" s="125"/>
      <c r="U40" s="231"/>
      <c r="V40" s="231"/>
      <c r="W40" s="231"/>
      <c r="X40" s="102"/>
      <c r="Y40" s="125"/>
      <c r="Z40" s="125"/>
      <c r="AA40" s="125"/>
      <c r="AB40" s="232"/>
      <c r="AC40" s="102"/>
      <c r="AD40" s="125"/>
      <c r="AE40" s="125"/>
      <c r="AF40" s="125"/>
      <c r="AG40" s="231"/>
      <c r="AH40" s="231"/>
      <c r="AI40" s="231"/>
      <c r="AJ40" s="102"/>
      <c r="AK40" s="125"/>
      <c r="AL40" s="125"/>
      <c r="AM40" s="125"/>
      <c r="AN40" s="232"/>
      <c r="AO40" s="213"/>
    </row>
    <row r="41" spans="1:41" ht="15.75" customHeight="1">
      <c r="A41" s="25" t="s">
        <v>180</v>
      </c>
      <c r="B41" s="271">
        <f>+'NEW...Tables 91-112'!D47</f>
        <v>11.073794586438456</v>
      </c>
      <c r="C41" s="271">
        <f>+'NEW...Tables 91-112'!D78</f>
        <v>0</v>
      </c>
      <c r="D41" s="271">
        <f>+'NEW...Tables 91-112'!D109</f>
        <v>15.030205497610718</v>
      </c>
      <c r="E41" s="271">
        <f>+'NEW...Tables 91-112'!D140</f>
        <v>12.830112923462988</v>
      </c>
      <c r="F41" s="271">
        <f>+'NEW...Tables 91-112'!D170</f>
        <v>0</v>
      </c>
      <c r="G41" s="271">
        <f>+'NEW...Tables 91-112'!D201</f>
        <v>0</v>
      </c>
      <c r="H41" s="272">
        <f>+'NEW...Tables 91-112'!D15</f>
        <v>11.073794586438456</v>
      </c>
      <c r="I41" s="273">
        <f>+'NEW...Tables 91-112'!D263</f>
        <v>0</v>
      </c>
      <c r="J41" s="271">
        <f>+'NEW...Tables 91-112'!D294</f>
        <v>24.026871623406464</v>
      </c>
      <c r="K41" s="271">
        <f>+'NEW...Tables 91-112'!D325</f>
        <v>31.525441039560981</v>
      </c>
      <c r="L41" s="271">
        <f>+'NEW...Tables 91-112'!D355</f>
        <v>36.838143710965149</v>
      </c>
      <c r="M41" s="273">
        <f>+'NEW...Tables 91-112'!D232</f>
        <v>29.414641945064027</v>
      </c>
      <c r="N41" s="274">
        <f>+'NEW...Tables 91-112'!D416</f>
        <v>10.192784090122755</v>
      </c>
      <c r="O41" s="275">
        <f>+'NEW...Tables 91-112'!D446</f>
        <v>0</v>
      </c>
      <c r="P41" s="276">
        <f>+'NEW...Tables 91-112'!D386</f>
        <v>10.192784090122755</v>
      </c>
      <c r="Q41" s="147">
        <f>+'NEW...Tables 87-90'!H41-OLD...Tables!H41</f>
        <v>0.97023220967047408</v>
      </c>
      <c r="R41" s="147">
        <f>+'NEW...Tables 87-90'!M41-OLD...Tables!M41</f>
        <v>2.9358893391393188</v>
      </c>
      <c r="S41" s="147">
        <f>+'NEW...Tables 87-90'!P41-OLD...Tables!P41</f>
        <v>2.6520484121400161</v>
      </c>
      <c r="T41" s="125"/>
      <c r="U41" s="231"/>
      <c r="V41" s="231"/>
      <c r="W41" s="231"/>
      <c r="X41" s="102"/>
      <c r="Y41" s="125"/>
      <c r="Z41" s="125"/>
      <c r="AA41" s="125"/>
      <c r="AB41" s="232"/>
      <c r="AC41" s="102"/>
      <c r="AD41" s="125"/>
      <c r="AE41" s="125"/>
      <c r="AF41" s="125"/>
      <c r="AG41" s="231"/>
      <c r="AH41" s="231"/>
      <c r="AI41" s="231"/>
      <c r="AJ41" s="102"/>
      <c r="AK41" s="125"/>
      <c r="AL41" s="125"/>
      <c r="AM41" s="125"/>
      <c r="AN41" s="232"/>
      <c r="AO41" s="213"/>
    </row>
    <row r="42" spans="1:41" ht="15.75" customHeight="1">
      <c r="A42" s="25" t="s">
        <v>181</v>
      </c>
      <c r="B42" s="271">
        <f>+'NEW...Tables 91-112'!D48</f>
        <v>0</v>
      </c>
      <c r="C42" s="271">
        <f>+'NEW...Tables 91-112'!D79</f>
        <v>0</v>
      </c>
      <c r="D42" s="271">
        <f>+'NEW...Tables 91-112'!D110</f>
        <v>0</v>
      </c>
      <c r="E42" s="271">
        <f>+'NEW...Tables 91-112'!D141</f>
        <v>0</v>
      </c>
      <c r="F42" s="271">
        <f>+'NEW...Tables 91-112'!D171</f>
        <v>0</v>
      </c>
      <c r="G42" s="271">
        <f>+'NEW...Tables 91-112'!D202</f>
        <v>0</v>
      </c>
      <c r="H42" s="272">
        <f>+'NEW...Tables 91-112'!D16</f>
        <v>0</v>
      </c>
      <c r="I42" s="273">
        <f>+'NEW...Tables 91-112'!D264</f>
        <v>0</v>
      </c>
      <c r="J42" s="271">
        <f>+'NEW...Tables 91-112'!D295</f>
        <v>0</v>
      </c>
      <c r="K42" s="271">
        <f>+'NEW...Tables 91-112'!D326</f>
        <v>0</v>
      </c>
      <c r="L42" s="271">
        <f>+'NEW...Tables 91-112'!D356</f>
        <v>0</v>
      </c>
      <c r="M42" s="273">
        <f>+'NEW...Tables 91-112'!D233</f>
        <v>0</v>
      </c>
      <c r="N42" s="274">
        <f>+'NEW...Tables 91-112'!D417</f>
        <v>0</v>
      </c>
      <c r="O42" s="275">
        <f>+'NEW...Tables 91-112'!D447</f>
        <v>0</v>
      </c>
      <c r="P42" s="276">
        <f>+'NEW...Tables 91-112'!D387</f>
        <v>0</v>
      </c>
      <c r="Q42" s="147">
        <f>+'NEW...Tables 87-90'!H42-OLD...Tables!H42</f>
        <v>0</v>
      </c>
      <c r="R42" s="147">
        <f>+'NEW...Tables 87-90'!M42-OLD...Tables!M42</f>
        <v>0</v>
      </c>
      <c r="S42" s="147">
        <f>+'NEW...Tables 87-90'!P42-OLD...Tables!P42</f>
        <v>0</v>
      </c>
      <c r="T42" s="125"/>
      <c r="U42" s="231"/>
      <c r="V42" s="231"/>
      <c r="W42" s="231"/>
      <c r="X42" s="102"/>
      <c r="Y42" s="125"/>
      <c r="Z42" s="125"/>
      <c r="AA42" s="125"/>
      <c r="AB42" s="232"/>
      <c r="AC42" s="102"/>
      <c r="AD42" s="125"/>
      <c r="AE42" s="125"/>
      <c r="AF42" s="125"/>
      <c r="AG42" s="231"/>
      <c r="AH42" s="231"/>
      <c r="AI42" s="231"/>
      <c r="AJ42" s="102"/>
      <c r="AK42" s="125"/>
      <c r="AL42" s="125"/>
      <c r="AM42" s="125"/>
      <c r="AN42" s="232"/>
      <c r="AO42" s="213"/>
    </row>
    <row r="43" spans="1:41" ht="15.75" customHeight="1">
      <c r="A43" s="25" t="s">
        <v>194</v>
      </c>
      <c r="B43" s="271">
        <f>+'NEW...Tables 91-112'!D49</f>
        <v>18.272183147339256</v>
      </c>
      <c r="C43" s="271">
        <f>+'NEW...Tables 91-112'!D80</f>
        <v>5.6844706570681005</v>
      </c>
      <c r="D43" s="271">
        <f>+'NEW...Tables 91-112'!D111</f>
        <v>5.1411546168180742</v>
      </c>
      <c r="E43" s="271">
        <f>+'NEW...Tables 91-112'!D142</f>
        <v>9.3146015366883859</v>
      </c>
      <c r="F43" s="271">
        <f>+'NEW...Tables 91-112'!D172</f>
        <v>0</v>
      </c>
      <c r="G43" s="271">
        <f>+'NEW...Tables 91-112'!D203</f>
        <v>0</v>
      </c>
      <c r="H43" s="272">
        <f>+'NEW...Tables 91-112'!D17</f>
        <v>18.272183147339256</v>
      </c>
      <c r="I43" s="273">
        <f>+'NEW...Tables 91-112'!D265</f>
        <v>0</v>
      </c>
      <c r="J43" s="271">
        <f>+'NEW...Tables 91-112'!D296</f>
        <v>14.34111922868993</v>
      </c>
      <c r="K43" s="271">
        <f>+'NEW...Tables 91-112'!D327</f>
        <v>15.801043707345267</v>
      </c>
      <c r="L43" s="271">
        <f>+'NEW...Tables 91-112'!D357</f>
        <v>17.657331889572134</v>
      </c>
      <c r="M43" s="273">
        <f>+'NEW...Tables 91-112'!D234</f>
        <v>14.846350132517694</v>
      </c>
      <c r="N43" s="274">
        <f>+'NEW...Tables 91-112'!D418</f>
        <v>0</v>
      </c>
      <c r="O43" s="275">
        <f>+'NEW...Tables 91-112'!D448</f>
        <v>0</v>
      </c>
      <c r="P43" s="276">
        <f>+'NEW...Tables 91-112'!D388</f>
        <v>0</v>
      </c>
      <c r="Q43" s="147">
        <f>+'NEW...Tables 87-90'!H43-OLD...Tables!H43</f>
        <v>2.2582239092259648</v>
      </c>
      <c r="R43" s="147">
        <f>+'NEW...Tables 87-90'!M43-OLD...Tables!M43</f>
        <v>2.0605783184500392</v>
      </c>
      <c r="S43" s="147">
        <f>+'NEW...Tables 87-90'!P43-OLD...Tables!P43</f>
        <v>0</v>
      </c>
      <c r="T43" s="125"/>
      <c r="U43" s="233"/>
      <c r="V43" s="231"/>
      <c r="W43" s="231"/>
      <c r="X43" s="102"/>
      <c r="Y43" s="125"/>
      <c r="Z43" s="125"/>
      <c r="AA43" s="125"/>
      <c r="AB43" s="232"/>
      <c r="AC43" s="102"/>
      <c r="AD43" s="125"/>
      <c r="AE43" s="125"/>
      <c r="AF43" s="125"/>
      <c r="AG43" s="231"/>
      <c r="AH43" s="231"/>
      <c r="AI43" s="231"/>
      <c r="AJ43" s="102"/>
      <c r="AK43" s="125"/>
      <c r="AL43" s="125"/>
      <c r="AM43" s="125"/>
      <c r="AN43" s="232"/>
      <c r="AO43" s="213"/>
    </row>
    <row r="44" spans="1:41" ht="15.75" customHeight="1">
      <c r="A44" s="25"/>
      <c r="B44" s="271"/>
      <c r="C44" s="271"/>
      <c r="D44" s="271"/>
      <c r="E44" s="271"/>
      <c r="F44" s="271"/>
      <c r="G44" s="271"/>
      <c r="H44" s="272"/>
      <c r="I44" s="273"/>
      <c r="J44" s="271"/>
      <c r="K44" s="271"/>
      <c r="L44" s="271"/>
      <c r="M44" s="273"/>
      <c r="N44" s="274"/>
      <c r="O44" s="275"/>
      <c r="P44" s="276"/>
      <c r="Q44" s="147"/>
      <c r="R44" s="147"/>
      <c r="S44" s="147"/>
      <c r="T44" s="125"/>
      <c r="U44" s="233"/>
      <c r="V44" s="231"/>
      <c r="W44" s="231"/>
      <c r="X44" s="102"/>
      <c r="Y44" s="125"/>
      <c r="Z44" s="125"/>
      <c r="AA44" s="125"/>
      <c r="AB44" s="232"/>
      <c r="AC44" s="102"/>
      <c r="AD44" s="125"/>
      <c r="AE44" s="125"/>
      <c r="AF44" s="125"/>
      <c r="AG44" s="231"/>
      <c r="AH44" s="231"/>
      <c r="AI44" s="231"/>
      <c r="AJ44" s="102"/>
      <c r="AK44" s="125"/>
      <c r="AL44" s="125"/>
      <c r="AM44" s="125"/>
      <c r="AN44" s="232"/>
      <c r="AO44" s="213"/>
    </row>
    <row r="45" spans="1:41" ht="15.75" customHeight="1">
      <c r="A45" s="25" t="s">
        <v>195</v>
      </c>
      <c r="B45" s="271">
        <f>+'NEW...Tables 91-112'!D51</f>
        <v>8.9935828029682838</v>
      </c>
      <c r="C45" s="271">
        <f>+'NEW...Tables 91-112'!D82</f>
        <v>4.3134854616428946</v>
      </c>
      <c r="D45" s="271">
        <f>+'NEW...Tables 91-112'!D113</f>
        <v>0</v>
      </c>
      <c r="E45" s="271">
        <f>+'NEW...Tables 91-112'!D144</f>
        <v>17.158119104943864</v>
      </c>
      <c r="F45" s="271">
        <f>+'NEW...Tables 91-112'!D174</f>
        <v>40.920383295871289</v>
      </c>
      <c r="G45" s="271">
        <f>+'NEW...Tables 91-112'!D205</f>
        <v>0</v>
      </c>
      <c r="H45" s="272">
        <f>+'NEW...Tables 91-112'!D19</f>
        <v>8.9935828029682838</v>
      </c>
      <c r="I45" s="273">
        <f>+'NEW...Tables 91-112'!D267</f>
        <v>0</v>
      </c>
      <c r="J45" s="271">
        <f>+'NEW...Tables 91-112'!D298</f>
        <v>21.431540780486745</v>
      </c>
      <c r="K45" s="271">
        <f>+'NEW...Tables 91-112'!D329</f>
        <v>18.460958516817737</v>
      </c>
      <c r="L45" s="271">
        <f>+'NEW...Tables 91-112'!D359</f>
        <v>12.139139030907771</v>
      </c>
      <c r="M45" s="273">
        <f>+'NEW...Tables 91-112'!D236</f>
        <v>19.473114842827208</v>
      </c>
      <c r="N45" s="274">
        <f>+'NEW...Tables 91-112'!D420</f>
        <v>0</v>
      </c>
      <c r="O45" s="275">
        <f>+'NEW...Tables 91-112'!D450</f>
        <v>0</v>
      </c>
      <c r="P45" s="276">
        <f>+'NEW...Tables 91-112'!D390</f>
        <v>0</v>
      </c>
      <c r="Q45" s="147">
        <f>+'NEW...Tables 87-90'!H45-OLD...Tables!H45</f>
        <v>1.2765985160070539</v>
      </c>
      <c r="R45" s="147">
        <f>+'NEW...Tables 87-90'!M45-OLD...Tables!M45</f>
        <v>1.454695286875868</v>
      </c>
      <c r="S45" s="147">
        <f>+'NEW...Tables 87-90'!P45-OLD...Tables!P45</f>
        <v>0</v>
      </c>
      <c r="T45" s="125"/>
      <c r="U45" s="231"/>
      <c r="V45" s="231"/>
      <c r="W45" s="231"/>
      <c r="X45" s="102"/>
      <c r="Y45" s="125"/>
      <c r="Z45" s="125"/>
      <c r="AA45" s="125"/>
      <c r="AB45" s="232"/>
      <c r="AC45" s="102"/>
      <c r="AD45" s="125"/>
      <c r="AE45" s="125"/>
      <c r="AF45" s="125"/>
      <c r="AG45" s="231"/>
      <c r="AH45" s="231"/>
      <c r="AI45" s="231"/>
      <c r="AJ45" s="102"/>
      <c r="AK45" s="125"/>
      <c r="AL45" s="125"/>
      <c r="AM45" s="125"/>
      <c r="AN45" s="232"/>
      <c r="AO45" s="213"/>
    </row>
    <row r="46" spans="1:41" ht="15.75" customHeight="1">
      <c r="A46" s="25" t="s">
        <v>184</v>
      </c>
      <c r="B46" s="271">
        <f>+'NEW...Tables 91-112'!D52</f>
        <v>9.1799499210644946</v>
      </c>
      <c r="C46" s="271">
        <f>+'NEW...Tables 91-112'!D83</f>
        <v>4.0580953591503546</v>
      </c>
      <c r="D46" s="271">
        <f>+'NEW...Tables 91-112'!D114</f>
        <v>8.6373367705078152</v>
      </c>
      <c r="E46" s="271">
        <f>+'NEW...Tables 91-112'!D145</f>
        <v>15.923090401800758</v>
      </c>
      <c r="F46" s="271">
        <f>+'NEW...Tables 91-112'!D175</f>
        <v>16.130562210412386</v>
      </c>
      <c r="G46" s="271">
        <f>+'NEW...Tables 91-112'!D206</f>
        <v>8.9106091272464685</v>
      </c>
      <c r="H46" s="272">
        <f>+'NEW...Tables 91-112'!D20</f>
        <v>9.1799499210644946</v>
      </c>
      <c r="I46" s="273">
        <f>+'NEW...Tables 91-112'!D268</f>
        <v>0</v>
      </c>
      <c r="J46" s="271">
        <f>+'NEW...Tables 91-112'!D299</f>
        <v>30.694560569503835</v>
      </c>
      <c r="K46" s="271">
        <f>+'NEW...Tables 91-112'!D330</f>
        <v>34.335108351226197</v>
      </c>
      <c r="L46" s="271">
        <f>+'NEW...Tables 91-112'!D360</f>
        <v>35.955074631242482</v>
      </c>
      <c r="M46" s="273">
        <f>+'NEW...Tables 91-112'!D237</f>
        <v>32.905919490859205</v>
      </c>
      <c r="N46" s="274">
        <f>+'NEW...Tables 91-112'!D421</f>
        <v>0</v>
      </c>
      <c r="O46" s="275">
        <f>+'NEW...Tables 91-112'!D451</f>
        <v>0</v>
      </c>
      <c r="P46" s="276">
        <f>+'NEW...Tables 91-112'!D391</f>
        <v>0</v>
      </c>
      <c r="Q46" s="147">
        <f>+'NEW...Tables 87-90'!H46-OLD...Tables!H46</f>
        <v>0.63180251145776012</v>
      </c>
      <c r="R46" s="147">
        <f>+'NEW...Tables 87-90'!M46-OLD...Tables!M46</f>
        <v>10.264319181433105</v>
      </c>
      <c r="S46" s="147">
        <f>+'NEW...Tables 87-90'!P46-OLD...Tables!P46</f>
        <v>0</v>
      </c>
      <c r="T46" s="125"/>
      <c r="U46" s="231"/>
      <c r="V46" s="231"/>
      <c r="W46" s="231"/>
      <c r="X46" s="102"/>
      <c r="Y46" s="125"/>
      <c r="Z46" s="125"/>
      <c r="AA46" s="125"/>
      <c r="AB46" s="232"/>
      <c r="AC46" s="102"/>
      <c r="AD46" s="125"/>
      <c r="AE46" s="125"/>
      <c r="AF46" s="125"/>
      <c r="AG46" s="231"/>
      <c r="AH46" s="231"/>
      <c r="AI46" s="231"/>
      <c r="AJ46" s="102"/>
      <c r="AK46" s="125"/>
      <c r="AL46" s="125"/>
      <c r="AM46" s="125"/>
      <c r="AN46" s="232"/>
      <c r="AO46" s="213"/>
    </row>
    <row r="47" spans="1:41" ht="15.75" customHeight="1">
      <c r="A47" s="25" t="s">
        <v>185</v>
      </c>
      <c r="B47" s="271">
        <f>+'NEW...Tables 91-112'!D53</f>
        <v>14.127838769230117</v>
      </c>
      <c r="C47" s="271">
        <f>+'NEW...Tables 91-112'!D84</f>
        <v>0</v>
      </c>
      <c r="D47" s="271">
        <f>+'NEW...Tables 91-112'!D115</f>
        <v>11.573550206073884</v>
      </c>
      <c r="E47" s="271">
        <f>+'NEW...Tables 91-112'!D146</f>
        <v>0</v>
      </c>
      <c r="F47" s="271">
        <f>+'NEW...Tables 91-112'!D176</f>
        <v>17.573162884475142</v>
      </c>
      <c r="G47" s="271">
        <f>+'NEW...Tables 91-112'!D207</f>
        <v>19.612406647071609</v>
      </c>
      <c r="H47" s="272">
        <f>+'NEW...Tables 91-112'!D21</f>
        <v>14.127838769230117</v>
      </c>
      <c r="I47" s="273">
        <f>+'NEW...Tables 91-112'!D269</f>
        <v>23.709784511378043</v>
      </c>
      <c r="J47" s="271">
        <f>+'NEW...Tables 91-112'!D300</f>
        <v>26.7199459804859</v>
      </c>
      <c r="K47" s="271">
        <f>+'NEW...Tables 91-112'!D331</f>
        <v>23.369068395246405</v>
      </c>
      <c r="L47" s="271">
        <f>+'NEW...Tables 91-112'!D361</f>
        <v>34.002465419366942</v>
      </c>
      <c r="M47" s="273">
        <f>+'NEW...Tables 91-112'!D238</f>
        <v>27.920493752331222</v>
      </c>
      <c r="N47" s="274">
        <f>+'NEW...Tables 91-112'!D422</f>
        <v>0</v>
      </c>
      <c r="O47" s="275">
        <f>+'NEW...Tables 91-112'!D452</f>
        <v>0</v>
      </c>
      <c r="P47" s="276">
        <f>+'NEW...Tables 91-112'!D392</f>
        <v>0</v>
      </c>
      <c r="Q47" s="147">
        <f>+'NEW...Tables 87-90'!H47-OLD...Tables!H47</f>
        <v>1.7727054470587245</v>
      </c>
      <c r="R47" s="147">
        <f>+'NEW...Tables 87-90'!M47-OLD...Tables!M47</f>
        <v>5.5343422914534806</v>
      </c>
      <c r="S47" s="147">
        <f>+'NEW...Tables 87-90'!P47-OLD...Tables!P47</f>
        <v>0</v>
      </c>
      <c r="T47" s="125"/>
      <c r="U47" s="231"/>
      <c r="V47" s="231"/>
      <c r="W47" s="231"/>
      <c r="X47" s="102"/>
      <c r="Y47" s="125"/>
      <c r="Z47" s="125"/>
      <c r="AA47" s="125"/>
      <c r="AB47" s="232"/>
      <c r="AC47" s="102"/>
      <c r="AD47" s="125"/>
      <c r="AE47" s="125"/>
      <c r="AF47" s="125"/>
      <c r="AG47" s="231"/>
      <c r="AH47" s="231"/>
      <c r="AI47" s="231"/>
      <c r="AJ47" s="102"/>
      <c r="AK47" s="125"/>
      <c r="AL47" s="125"/>
      <c r="AM47" s="125"/>
      <c r="AN47" s="232"/>
      <c r="AO47" s="213"/>
    </row>
    <row r="48" spans="1:41" ht="15.75" customHeight="1">
      <c r="A48" s="25" t="s">
        <v>186</v>
      </c>
      <c r="B48" s="271">
        <f>+'NEW...Tables 91-112'!D54</f>
        <v>3.6496929410638326</v>
      </c>
      <c r="C48" s="271">
        <f>+'NEW...Tables 91-112'!D85</f>
        <v>0</v>
      </c>
      <c r="D48" s="271">
        <f>+'NEW...Tables 91-112'!D116</f>
        <v>0.93431953458955863</v>
      </c>
      <c r="E48" s="271">
        <f>+'NEW...Tables 91-112'!D147</f>
        <v>0.7088225542763722</v>
      </c>
      <c r="F48" s="271">
        <f>+'NEW...Tables 91-112'!D177</f>
        <v>3.9568399220019219</v>
      </c>
      <c r="G48" s="271">
        <f>+'NEW...Tables 91-112'!D208</f>
        <v>6.1117174828884151</v>
      </c>
      <c r="H48" s="272">
        <f>+'NEW...Tables 91-112'!D22</f>
        <v>3.6496929410638326</v>
      </c>
      <c r="I48" s="273">
        <f>+'NEW...Tables 91-112'!D270</f>
        <v>0</v>
      </c>
      <c r="J48" s="271">
        <f>+'NEW...Tables 91-112'!D301</f>
        <v>18.514886715117576</v>
      </c>
      <c r="K48" s="271">
        <f>+'NEW...Tables 91-112'!D332</f>
        <v>19.965044437929855</v>
      </c>
      <c r="L48" s="271">
        <f>+'NEW...Tables 91-112'!D362</f>
        <v>10.028979386643531</v>
      </c>
      <c r="M48" s="273">
        <f>+'NEW...Tables 91-112'!D239</f>
        <v>18.174378946254851</v>
      </c>
      <c r="N48" s="274">
        <f>+'NEW...Tables 91-112'!D423</f>
        <v>0</v>
      </c>
      <c r="O48" s="275">
        <f>+'NEW...Tables 91-112'!D453</f>
        <v>0</v>
      </c>
      <c r="P48" s="276">
        <f>+'NEW...Tables 91-112'!D393</f>
        <v>0</v>
      </c>
      <c r="Q48" s="147">
        <f>+'NEW...Tables 87-90'!H48-OLD...Tables!H48</f>
        <v>0.5905865613152308</v>
      </c>
      <c r="R48" s="147">
        <f>+'NEW...Tables 87-90'!M48-OLD...Tables!M48</f>
        <v>-2.1203194553437186</v>
      </c>
      <c r="S48" s="147">
        <f>+'NEW...Tables 87-90'!P48-OLD...Tables!P48</f>
        <v>0</v>
      </c>
      <c r="T48" s="125"/>
      <c r="U48" s="231"/>
      <c r="V48" s="231"/>
      <c r="W48" s="231"/>
      <c r="X48" s="102"/>
      <c r="Y48" s="125"/>
      <c r="Z48" s="125"/>
      <c r="AA48" s="125"/>
      <c r="AB48" s="232"/>
      <c r="AC48" s="232"/>
      <c r="AD48" s="232"/>
      <c r="AE48" s="232"/>
      <c r="AF48" s="232"/>
      <c r="AG48" s="232"/>
      <c r="AH48" s="232"/>
      <c r="AI48" s="232"/>
      <c r="AJ48" s="232"/>
      <c r="AK48" s="232"/>
      <c r="AL48" s="232"/>
      <c r="AM48" s="232"/>
      <c r="AN48" s="232"/>
      <c r="AO48" s="213"/>
    </row>
    <row r="49" spans="1:41" ht="15.75" customHeight="1">
      <c r="A49" s="25"/>
      <c r="B49" s="271"/>
      <c r="C49" s="271"/>
      <c r="D49" s="271"/>
      <c r="E49" s="271"/>
      <c r="F49" s="271"/>
      <c r="G49" s="271"/>
      <c r="H49" s="272"/>
      <c r="I49" s="273"/>
      <c r="J49" s="271"/>
      <c r="K49" s="271"/>
      <c r="L49" s="271"/>
      <c r="M49" s="273"/>
      <c r="N49" s="274"/>
      <c r="O49" s="275"/>
      <c r="P49" s="276"/>
      <c r="Q49" s="147"/>
      <c r="R49" s="147"/>
      <c r="S49" s="147"/>
      <c r="T49" s="125"/>
      <c r="U49" s="231"/>
      <c r="V49" s="231"/>
      <c r="W49" s="231"/>
      <c r="X49" s="102"/>
      <c r="Y49" s="125"/>
      <c r="Z49" s="125"/>
      <c r="AA49" s="125"/>
      <c r="AB49" s="232"/>
      <c r="AC49" s="232"/>
      <c r="AD49" s="232"/>
      <c r="AE49" s="232"/>
      <c r="AF49" s="232"/>
      <c r="AG49" s="232"/>
      <c r="AH49" s="232"/>
      <c r="AI49" s="232"/>
      <c r="AJ49" s="232"/>
      <c r="AK49" s="232"/>
      <c r="AL49" s="232"/>
      <c r="AM49" s="232"/>
      <c r="AN49" s="232"/>
      <c r="AO49" s="213"/>
    </row>
    <row r="50" spans="1:41" ht="15.75" customHeight="1">
      <c r="A50" s="25" t="s">
        <v>187</v>
      </c>
      <c r="B50" s="271">
        <f>+'NEW...Tables 91-112'!D56</f>
        <v>14.205476013811477</v>
      </c>
      <c r="C50" s="271">
        <f>+'NEW...Tables 91-112'!D87</f>
        <v>7.9920772198244112</v>
      </c>
      <c r="D50" s="271">
        <f>+'NEW...Tables 91-112'!D118</f>
        <v>15.581489482511314</v>
      </c>
      <c r="E50" s="271">
        <f>+'NEW...Tables 91-112'!D149</f>
        <v>0</v>
      </c>
      <c r="F50" s="271">
        <f>+'NEW...Tables 91-112'!D179</f>
        <v>7.6690408820372715</v>
      </c>
      <c r="G50" s="271">
        <f>+'NEW...Tables 91-112'!D210</f>
        <v>0</v>
      </c>
      <c r="H50" s="272">
        <f>+'NEW...Tables 91-112'!D24</f>
        <v>14.205476013811477</v>
      </c>
      <c r="I50" s="273">
        <f>+'NEW...Tables 91-112'!D272</f>
        <v>0</v>
      </c>
      <c r="J50" s="271">
        <f>+'NEW...Tables 91-112'!D303</f>
        <v>22.370976834593453</v>
      </c>
      <c r="K50" s="271">
        <f>+'NEW...Tables 91-112'!D334</f>
        <v>24.935435516786765</v>
      </c>
      <c r="L50" s="271">
        <f>+'NEW...Tables 91-112'!D364</f>
        <v>0</v>
      </c>
      <c r="M50" s="273">
        <f>+'NEW...Tables 91-112'!D241</f>
        <v>23.515627853665602</v>
      </c>
      <c r="N50" s="274">
        <f>+'NEW...Tables 91-112'!D425</f>
        <v>0</v>
      </c>
      <c r="O50" s="275">
        <f>+'NEW...Tables 91-112'!D455</f>
        <v>0</v>
      </c>
      <c r="P50" s="276">
        <f>+'NEW...Tables 91-112'!D395</f>
        <v>0</v>
      </c>
      <c r="Q50" s="147">
        <f>+'NEW...Tables 87-90'!H50-OLD...Tables!H50</f>
        <v>1.2650467612915577</v>
      </c>
      <c r="R50" s="147">
        <f>+'NEW...Tables 87-90'!M50-OLD...Tables!M50</f>
        <v>0.46882541847096704</v>
      </c>
      <c r="S50" s="147">
        <f>+'NEW...Tables 87-90'!P50-OLD...Tables!P50</f>
        <v>0</v>
      </c>
      <c r="T50" s="125"/>
      <c r="U50" s="231"/>
      <c r="V50" s="231"/>
      <c r="W50" s="231"/>
      <c r="X50" s="102"/>
      <c r="Y50" s="125"/>
      <c r="Z50" s="125"/>
      <c r="AA50" s="125"/>
      <c r="AB50" s="232"/>
      <c r="AC50" s="232"/>
      <c r="AD50" s="232"/>
      <c r="AE50" s="232"/>
      <c r="AF50" s="232"/>
      <c r="AG50" s="232"/>
      <c r="AH50" s="232"/>
      <c r="AI50" s="232"/>
      <c r="AJ50" s="232"/>
      <c r="AK50" s="232"/>
      <c r="AL50" s="232"/>
      <c r="AM50" s="232"/>
      <c r="AN50" s="232"/>
      <c r="AO50" s="213"/>
    </row>
    <row r="51" spans="1:41" s="44" customFormat="1" ht="16.5" customHeight="1">
      <c r="A51" s="25" t="s">
        <v>188</v>
      </c>
      <c r="B51" s="271">
        <f>+'NEW...Tables 91-112'!D57</f>
        <v>9.8488834642168932</v>
      </c>
      <c r="C51" s="271">
        <f>+'NEW...Tables 91-112'!D88</f>
        <v>9.1242883374768038</v>
      </c>
      <c r="D51" s="271">
        <f>+'NEW...Tables 91-112'!D119</f>
        <v>9.6485053176166495</v>
      </c>
      <c r="E51" s="271">
        <f>+'NEW...Tables 91-112'!D150</f>
        <v>48.429138141339102</v>
      </c>
      <c r="F51" s="271">
        <f>+'NEW...Tables 91-112'!D180</f>
        <v>26.200438054588339</v>
      </c>
      <c r="G51" s="271">
        <f>+'NEW...Tables 91-112'!D211</f>
        <v>0</v>
      </c>
      <c r="H51" s="272">
        <f>+'NEW...Tables 91-112'!D25</f>
        <v>9.8488834642168932</v>
      </c>
      <c r="I51" s="273">
        <f>+'NEW...Tables 91-112'!D273</f>
        <v>19.317801471919314</v>
      </c>
      <c r="J51" s="271">
        <f>+'NEW...Tables 91-112'!D304</f>
        <v>17.589061201983021</v>
      </c>
      <c r="K51" s="271">
        <f>+'NEW...Tables 91-112'!D335</f>
        <v>22.141683699942476</v>
      </c>
      <c r="L51" s="271">
        <f>+'NEW...Tables 91-112'!D365</f>
        <v>24.426508479790794</v>
      </c>
      <c r="M51" s="273">
        <f>+'NEW...Tables 91-112'!D242</f>
        <v>18.601980551609763</v>
      </c>
      <c r="N51" s="274">
        <f>+'NEW...Tables 91-112'!D426</f>
        <v>0</v>
      </c>
      <c r="O51" s="275">
        <f>+'NEW...Tables 91-112'!D456</f>
        <v>0</v>
      </c>
      <c r="P51" s="276">
        <f>+'NEW...Tables 91-112'!D396</f>
        <v>0</v>
      </c>
      <c r="Q51" s="147">
        <f>+'NEW...Tables 87-90'!H51-OLD...Tables!H51</f>
        <v>1.9188552765502056</v>
      </c>
      <c r="R51" s="147">
        <f>+'NEW...Tables 87-90'!M51-OLD...Tables!M51</f>
        <v>0.96623161269889835</v>
      </c>
      <c r="S51" s="147">
        <f>+'NEW...Tables 87-90'!P51-OLD...Tables!P51</f>
        <v>0</v>
      </c>
      <c r="T51" s="125"/>
      <c r="U51" s="231"/>
      <c r="V51" s="231"/>
      <c r="W51" s="231"/>
      <c r="X51" s="102"/>
      <c r="Y51" s="125"/>
      <c r="Z51" s="125"/>
      <c r="AA51" s="125"/>
      <c r="AB51" s="232"/>
      <c r="AC51" s="213"/>
      <c r="AD51" s="213"/>
      <c r="AE51" s="213"/>
      <c r="AF51" s="213"/>
      <c r="AG51" s="213"/>
      <c r="AH51" s="213"/>
      <c r="AI51" s="213"/>
      <c r="AJ51" s="213"/>
      <c r="AK51" s="213"/>
      <c r="AL51" s="213"/>
      <c r="AM51" s="213"/>
      <c r="AN51" s="213"/>
      <c r="AO51" s="45"/>
    </row>
    <row r="52" spans="1:41" s="44" customFormat="1" ht="14.25" customHeight="1">
      <c r="A52" s="25" t="s">
        <v>189</v>
      </c>
      <c r="B52" s="271">
        <f>+'NEW...Tables 91-112'!D58</f>
        <v>3.8676456487456368</v>
      </c>
      <c r="C52" s="271">
        <f>+'NEW...Tables 91-112'!D89</f>
        <v>2.9412210064717765</v>
      </c>
      <c r="D52" s="271">
        <f>+'NEW...Tables 91-112'!D120</f>
        <v>5.7536183268090912</v>
      </c>
      <c r="E52" s="271">
        <f>+'NEW...Tables 91-112'!D151</f>
        <v>0.50746351223020258</v>
      </c>
      <c r="F52" s="271">
        <f>+'NEW...Tables 91-112'!D181</f>
        <v>4.7727245831410281</v>
      </c>
      <c r="G52" s="271">
        <f>+'NEW...Tables 91-112'!D212</f>
        <v>3.334768484089397</v>
      </c>
      <c r="H52" s="272">
        <f>+'NEW...Tables 91-112'!D26</f>
        <v>3.8676456487456368</v>
      </c>
      <c r="I52" s="273">
        <f>+'NEW...Tables 91-112'!D274</f>
        <v>0</v>
      </c>
      <c r="J52" s="271">
        <f>+'NEW...Tables 91-112'!D305</f>
        <v>23.66194488883114</v>
      </c>
      <c r="K52" s="271">
        <f>+'NEW...Tables 91-112'!D336</f>
        <v>28.824836403300782</v>
      </c>
      <c r="L52" s="271">
        <f>+'NEW...Tables 91-112'!D366</f>
        <v>25.053718026555451</v>
      </c>
      <c r="M52" s="273">
        <f>+'NEW...Tables 91-112'!D243</f>
        <v>25.531929589214137</v>
      </c>
      <c r="N52" s="274">
        <f>+'NEW...Tables 91-112'!D427</f>
        <v>0</v>
      </c>
      <c r="O52" s="275">
        <f>+'NEW...Tables 91-112'!D457</f>
        <v>0</v>
      </c>
      <c r="P52" s="276">
        <f>+'NEW...Tables 91-112'!D397</f>
        <v>0</v>
      </c>
      <c r="Q52" s="147">
        <f>+'NEW...Tables 87-90'!H52-OLD...Tables!H52</f>
        <v>0.8116189837823149</v>
      </c>
      <c r="R52" s="147">
        <f>+'NEW...Tables 87-90'!M52-OLD...Tables!M52</f>
        <v>1.9050211554397052</v>
      </c>
      <c r="S52" s="147">
        <f>+'NEW...Tables 87-90'!P52-OLD...Tables!P52</f>
        <v>0</v>
      </c>
      <c r="T52" s="125"/>
      <c r="U52" s="231"/>
      <c r="V52" s="231"/>
      <c r="W52" s="231"/>
      <c r="X52" s="102"/>
      <c r="Y52" s="125"/>
      <c r="Z52" s="125"/>
      <c r="AA52" s="125"/>
      <c r="AB52" s="232"/>
      <c r="AC52" s="213"/>
      <c r="AD52" s="213"/>
      <c r="AE52" s="213"/>
      <c r="AF52" s="213"/>
      <c r="AG52" s="213"/>
      <c r="AH52" s="213"/>
      <c r="AI52" s="213"/>
      <c r="AJ52" s="213"/>
      <c r="AK52" s="213"/>
      <c r="AL52" s="213"/>
      <c r="AM52" s="213"/>
      <c r="AN52" s="213"/>
      <c r="AO52" s="45"/>
    </row>
    <row r="53" spans="1:41" s="44" customFormat="1" ht="15" customHeight="1">
      <c r="A53" s="25" t="s">
        <v>190</v>
      </c>
      <c r="B53" s="271">
        <f>+'NEW...Tables 91-112'!D59</f>
        <v>9.8852632606032103</v>
      </c>
      <c r="C53" s="271">
        <f>+'NEW...Tables 91-112'!D90</f>
        <v>0</v>
      </c>
      <c r="D53" s="271">
        <f>+'NEW...Tables 91-112'!D121</f>
        <v>14.175957272939529</v>
      </c>
      <c r="E53" s="271">
        <f>+'NEW...Tables 91-112'!D152</f>
        <v>0</v>
      </c>
      <c r="F53" s="271">
        <f>+'NEW...Tables 91-112'!D182</f>
        <v>6.8513239346446513</v>
      </c>
      <c r="G53" s="271">
        <f>+'NEW...Tables 91-112'!D213</f>
        <v>13.532011898473769</v>
      </c>
      <c r="H53" s="272">
        <f>+'NEW...Tables 91-112'!D27</f>
        <v>9.8852632606032103</v>
      </c>
      <c r="I53" s="273">
        <f>+'NEW...Tables 91-112'!D275</f>
        <v>21.12798352247486</v>
      </c>
      <c r="J53" s="271">
        <f>+'NEW...Tables 91-112'!D306</f>
        <v>0</v>
      </c>
      <c r="K53" s="271">
        <f>+'NEW...Tables 91-112'!D337</f>
        <v>24.29324923952781</v>
      </c>
      <c r="L53" s="271">
        <f>+'NEW...Tables 91-112'!D367</f>
        <v>18.643256228829099</v>
      </c>
      <c r="M53" s="273">
        <f>+'NEW...Tables 91-112'!D244</f>
        <v>19.96482901094398</v>
      </c>
      <c r="N53" s="274">
        <f>+'NEW...Tables 91-112'!D428</f>
        <v>0</v>
      </c>
      <c r="O53" s="275">
        <f>+'NEW...Tables 91-112'!D458</f>
        <v>0</v>
      </c>
      <c r="P53" s="276">
        <f>+'NEW...Tables 91-112'!D398</f>
        <v>0</v>
      </c>
      <c r="Q53" s="147">
        <f>+'NEW...Tables 87-90'!H53-OLD...Tables!H53</f>
        <v>1.0874244671050644</v>
      </c>
      <c r="R53" s="147">
        <f>+'NEW...Tables 87-90'!M53-OLD...Tables!M53</f>
        <v>2.5715629796992658</v>
      </c>
      <c r="S53" s="147">
        <f>+'NEW...Tables 87-90'!P53-OLD...Tables!P53</f>
        <v>0</v>
      </c>
      <c r="T53" s="125"/>
      <c r="U53" s="231"/>
      <c r="V53" s="231"/>
      <c r="W53" s="231"/>
      <c r="X53" s="102"/>
      <c r="Y53" s="125"/>
      <c r="Z53" s="125"/>
      <c r="AA53" s="125"/>
      <c r="AB53" s="232"/>
      <c r="AC53" s="213"/>
      <c r="AD53" s="213"/>
      <c r="AE53" s="213"/>
      <c r="AF53" s="213"/>
      <c r="AG53" s="213"/>
      <c r="AH53" s="213"/>
      <c r="AI53" s="213"/>
      <c r="AJ53" s="213"/>
      <c r="AK53" s="213"/>
      <c r="AL53" s="213"/>
      <c r="AM53" s="213"/>
      <c r="AN53" s="213"/>
      <c r="AO53" s="45"/>
    </row>
    <row r="54" spans="1:41" s="44" customFormat="1" ht="28.5" customHeight="1">
      <c r="A54" s="643" t="s">
        <v>196</v>
      </c>
      <c r="B54" s="644"/>
      <c r="C54" s="644"/>
      <c r="D54" s="644"/>
      <c r="E54" s="644"/>
      <c r="F54" s="644"/>
      <c r="G54" s="644"/>
      <c r="H54" s="644"/>
      <c r="I54" s="644"/>
      <c r="J54" s="644"/>
      <c r="K54" s="644"/>
      <c r="L54" s="644"/>
      <c r="M54" s="644"/>
      <c r="N54" s="644"/>
      <c r="O54" s="644"/>
      <c r="P54" s="644"/>
      <c r="Q54" s="46"/>
      <c r="R54" s="46"/>
      <c r="S54" s="46"/>
      <c r="T54" s="47"/>
      <c r="U54" s="47"/>
      <c r="V54" s="47"/>
      <c r="W54" s="47"/>
      <c r="X54" s="47"/>
      <c r="Y54" s="47"/>
      <c r="Z54" s="47"/>
      <c r="AA54" s="47"/>
      <c r="AB54" s="47"/>
      <c r="AC54" s="45"/>
      <c r="AD54" s="45"/>
      <c r="AE54" s="45"/>
      <c r="AF54" s="45"/>
      <c r="AG54" s="45"/>
      <c r="AH54" s="45"/>
      <c r="AI54" s="45"/>
      <c r="AJ54" s="45"/>
      <c r="AK54" s="45"/>
      <c r="AL54" s="45"/>
      <c r="AM54" s="45"/>
      <c r="AN54" s="45"/>
      <c r="AO54" s="45"/>
    </row>
    <row r="55" spans="1:41" s="44" customFormat="1" ht="16.5" customHeight="1">
      <c r="A55" s="43" t="s">
        <v>197</v>
      </c>
      <c r="H55" s="45"/>
      <c r="M55" s="46"/>
      <c r="P55" s="45"/>
      <c r="Q55" s="46"/>
      <c r="R55" s="46"/>
      <c r="S55" s="46"/>
      <c r="T55" s="46"/>
      <c r="U55" s="46"/>
      <c r="V55" s="46"/>
      <c r="W55" s="46"/>
      <c r="X55" s="46"/>
      <c r="Y55" s="46"/>
      <c r="Z55" s="46"/>
      <c r="AA55" s="46"/>
      <c r="AB55" s="46"/>
    </row>
    <row r="56" spans="1:41" s="25" customFormat="1" ht="3" customHeight="1">
      <c r="A56" s="109"/>
      <c r="B56" s="152"/>
      <c r="C56" s="152"/>
      <c r="D56" s="152"/>
      <c r="E56" s="152"/>
      <c r="F56" s="152"/>
      <c r="G56" s="152"/>
      <c r="H56" s="217"/>
      <c r="I56" s="152"/>
      <c r="J56" s="152"/>
      <c r="K56" s="152"/>
      <c r="L56" s="152"/>
      <c r="M56" s="152"/>
      <c r="N56" s="152"/>
      <c r="O56" s="152"/>
      <c r="P56" s="217"/>
      <c r="Q56" s="44"/>
      <c r="R56" s="44"/>
      <c r="S56" s="44"/>
      <c r="T56" s="44"/>
      <c r="U56" s="44"/>
      <c r="V56" s="44"/>
      <c r="W56" s="44"/>
      <c r="X56" s="44"/>
      <c r="Y56" s="44"/>
      <c r="Z56" s="44"/>
      <c r="AA56" s="44"/>
      <c r="AB56" s="44"/>
      <c r="AC56" s="44"/>
      <c r="AD56" s="44"/>
      <c r="AE56" s="44"/>
      <c r="AF56" s="44"/>
      <c r="AG56" s="44"/>
      <c r="AH56" s="44"/>
      <c r="AI56" s="44"/>
      <c r="AJ56" s="44"/>
      <c r="AK56" s="44"/>
      <c r="AL56" s="44"/>
      <c r="AM56" s="44"/>
      <c r="AN56" s="44"/>
    </row>
    <row r="57" spans="1:41">
      <c r="A57" s="44"/>
      <c r="B57" s="44"/>
      <c r="C57" s="44"/>
      <c r="D57" s="44"/>
      <c r="E57" s="44"/>
      <c r="F57" s="44"/>
      <c r="G57" s="44"/>
      <c r="H57" s="45"/>
      <c r="I57" s="44"/>
      <c r="J57" s="44"/>
      <c r="K57" s="44"/>
      <c r="L57" s="44"/>
      <c r="M57" s="48"/>
      <c r="N57" s="44"/>
      <c r="O57" s="44"/>
      <c r="P57" s="49" t="s">
        <v>900</v>
      </c>
      <c r="Q57" s="44"/>
      <c r="R57" s="44"/>
      <c r="S57" s="44"/>
      <c r="T57" s="44"/>
      <c r="U57" s="44"/>
      <c r="V57" s="44"/>
      <c r="W57" s="44"/>
      <c r="X57" s="44"/>
      <c r="Y57" s="44"/>
      <c r="Z57" s="44"/>
      <c r="AA57" s="44"/>
      <c r="AB57" s="44"/>
      <c r="AC57" s="44"/>
      <c r="AD57" s="44"/>
      <c r="AE57" s="44"/>
      <c r="AF57" s="44"/>
      <c r="AG57" s="44"/>
      <c r="AH57" s="44"/>
      <c r="AI57" s="44"/>
      <c r="AJ57" s="44"/>
      <c r="AK57" s="44"/>
      <c r="AL57" s="44"/>
      <c r="AM57" s="44"/>
      <c r="AN57" s="44"/>
    </row>
    <row r="58" spans="1:41" ht="18">
      <c r="A58" s="16" t="s">
        <v>198</v>
      </c>
      <c r="B58" s="17"/>
      <c r="C58" s="17"/>
      <c r="D58" s="17"/>
      <c r="E58" s="17"/>
      <c r="F58" s="17"/>
      <c r="G58" s="204"/>
      <c r="H58" s="205"/>
      <c r="I58" s="218" t="s">
        <v>39</v>
      </c>
      <c r="J58" s="218"/>
      <c r="K58" s="218"/>
      <c r="L58" s="218"/>
      <c r="M58" s="219"/>
    </row>
    <row r="59" spans="1:41" ht="9.75" customHeight="1">
      <c r="A59" s="22"/>
      <c r="B59" s="21"/>
      <c r="C59" s="21"/>
      <c r="D59" s="21"/>
      <c r="E59" s="21"/>
      <c r="F59" s="21"/>
      <c r="G59" s="21"/>
      <c r="H59" s="23"/>
      <c r="I59" s="60"/>
      <c r="J59" s="60"/>
      <c r="K59" s="60"/>
      <c r="L59" s="60"/>
      <c r="M59" s="61"/>
      <c r="N59" s="25"/>
      <c r="O59" s="25"/>
      <c r="P59" s="50"/>
      <c r="Q59" s="25"/>
      <c r="R59" s="25"/>
      <c r="S59" s="25"/>
      <c r="T59" s="25"/>
      <c r="U59" s="25"/>
      <c r="V59" s="25"/>
      <c r="W59" s="25"/>
      <c r="X59" s="25"/>
      <c r="Y59" s="25"/>
      <c r="Z59" s="25"/>
      <c r="AA59" s="25"/>
      <c r="AB59" s="25"/>
      <c r="AC59" s="25"/>
      <c r="AD59" s="25"/>
      <c r="AE59" s="25"/>
      <c r="AF59" s="25"/>
      <c r="AG59" s="25"/>
      <c r="AH59" s="25"/>
      <c r="AI59" s="25"/>
      <c r="AJ59" s="25"/>
      <c r="AK59" s="25"/>
      <c r="AL59" s="25"/>
      <c r="AM59" s="25"/>
      <c r="AN59" s="25"/>
    </row>
    <row r="60" spans="1:41" ht="18">
      <c r="A60" s="208" t="s">
        <v>199</v>
      </c>
      <c r="B60" s="17"/>
      <c r="C60" s="17"/>
      <c r="D60" s="17"/>
      <c r="E60" s="17"/>
      <c r="F60" s="17"/>
      <c r="G60" s="204"/>
      <c r="H60" s="205"/>
      <c r="I60" s="218" t="s">
        <v>39</v>
      </c>
      <c r="J60" s="218"/>
      <c r="K60" s="218"/>
      <c r="L60" s="218"/>
      <c r="M60" s="219"/>
    </row>
    <row r="61" spans="1:41" s="34" customFormat="1" ht="15.75">
      <c r="A61" s="208" t="s">
        <v>200</v>
      </c>
      <c r="B61" s="21"/>
      <c r="C61" s="21"/>
      <c r="D61" s="21"/>
      <c r="E61" s="21"/>
      <c r="F61" s="21"/>
      <c r="G61" s="204"/>
      <c r="H61" s="205"/>
      <c r="I61" s="218" t="s">
        <v>39</v>
      </c>
      <c r="J61" s="218"/>
      <c r="K61" s="218"/>
      <c r="L61" s="218"/>
      <c r="M61" s="219"/>
      <c r="N61" s="207"/>
      <c r="O61" s="207"/>
      <c r="P61" s="213"/>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row>
    <row r="62" spans="1:41" s="41" customFormat="1" ht="15.75">
      <c r="A62" s="208" t="s">
        <v>899</v>
      </c>
      <c r="B62" s="21"/>
      <c r="C62" s="21"/>
      <c r="D62" s="21"/>
      <c r="E62" s="21"/>
      <c r="F62" s="21"/>
      <c r="G62" s="204"/>
      <c r="H62" s="205"/>
      <c r="I62" s="218" t="s">
        <v>39</v>
      </c>
      <c r="J62" s="218"/>
      <c r="K62" s="218"/>
      <c r="L62" s="218"/>
      <c r="M62" s="219"/>
      <c r="N62" s="207"/>
      <c r="O62" s="207"/>
      <c r="P62" s="213"/>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row>
    <row r="63" spans="1:41" ht="12" customHeight="1">
      <c r="A63" s="209"/>
      <c r="B63" s="210"/>
      <c r="C63" s="210"/>
      <c r="D63" s="210"/>
      <c r="E63" s="210"/>
      <c r="F63" s="210"/>
      <c r="G63" s="210"/>
      <c r="H63" s="211"/>
      <c r="I63" s="212"/>
      <c r="J63" s="212"/>
      <c r="K63" s="212"/>
      <c r="L63" s="212"/>
    </row>
    <row r="64" spans="1:41" ht="15.75" customHeight="1">
      <c r="A64" s="214"/>
      <c r="B64" s="265" t="s">
        <v>87</v>
      </c>
      <c r="C64" s="265"/>
      <c r="D64" s="265"/>
      <c r="E64" s="265"/>
      <c r="F64" s="265"/>
      <c r="G64" s="265"/>
      <c r="H64" s="265"/>
      <c r="I64" s="54" t="s">
        <v>39</v>
      </c>
      <c r="J64" s="54"/>
      <c r="K64" s="54"/>
      <c r="L64" s="54"/>
      <c r="M64" s="54"/>
      <c r="N64" s="34"/>
      <c r="O64" s="34"/>
      <c r="P64" s="62"/>
      <c r="Q64" s="34"/>
      <c r="R64" s="34"/>
      <c r="S64" s="34"/>
      <c r="T64" s="34"/>
      <c r="U64" s="34"/>
      <c r="V64" s="34"/>
      <c r="W64" s="34"/>
      <c r="X64" s="34"/>
      <c r="Y64" s="34"/>
      <c r="Z64" s="34"/>
      <c r="AA64" s="34"/>
      <c r="AB64" s="34"/>
      <c r="AC64" s="34"/>
      <c r="AD64" s="34"/>
      <c r="AE64" s="34"/>
      <c r="AF64" s="34"/>
      <c r="AG64" s="34"/>
      <c r="AH64" s="34"/>
      <c r="AI64" s="34"/>
      <c r="AJ64" s="34"/>
      <c r="AK64" s="34"/>
      <c r="AL64" s="34"/>
      <c r="AM64" s="34"/>
      <c r="AN64" s="34"/>
    </row>
    <row r="65" spans="1:40" ht="15.75" customHeight="1">
      <c r="A65" s="215"/>
      <c r="B65" s="267">
        <v>1</v>
      </c>
      <c r="C65" s="267">
        <v>2</v>
      </c>
      <c r="D65" s="267">
        <v>3</v>
      </c>
      <c r="E65" s="267">
        <v>4</v>
      </c>
      <c r="F65" s="267">
        <v>5</v>
      </c>
      <c r="G65" s="267">
        <v>6</v>
      </c>
      <c r="H65" s="262" t="s">
        <v>173</v>
      </c>
      <c r="I65" s="54"/>
      <c r="J65" s="54"/>
      <c r="K65" s="54"/>
      <c r="L65" s="54"/>
      <c r="M65" s="54"/>
      <c r="N65" s="41"/>
      <c r="O65" s="41"/>
      <c r="P65" s="63"/>
      <c r="Q65" s="41"/>
      <c r="R65" s="41"/>
      <c r="S65" s="41"/>
      <c r="T65" s="41"/>
      <c r="U65" s="41"/>
      <c r="V65" s="41"/>
      <c r="W65" s="41"/>
      <c r="X65" s="41"/>
      <c r="Y65" s="41"/>
      <c r="Z65" s="41"/>
      <c r="AA65" s="41"/>
      <c r="AB65" s="41"/>
      <c r="AC65" s="41"/>
      <c r="AD65" s="41"/>
      <c r="AE65" s="41"/>
      <c r="AF65" s="41"/>
      <c r="AG65" s="41"/>
      <c r="AH65" s="41"/>
      <c r="AI65" s="41"/>
      <c r="AJ65" s="41"/>
      <c r="AK65" s="41"/>
      <c r="AL65" s="41"/>
      <c r="AM65" s="41"/>
      <c r="AN65" s="41"/>
    </row>
    <row r="66" spans="1:40" ht="15.75" customHeight="1">
      <c r="A66" s="25" t="s">
        <v>175</v>
      </c>
      <c r="B66" s="279">
        <f>+'NEW...Tables 91-112'!J41+'NEW...Tables 91-112'!K41</f>
        <v>72.181449127059693</v>
      </c>
      <c r="C66" s="279">
        <f>+'NEW...Tables 91-112'!J72+'NEW...Tables 91-112'!K72</f>
        <v>83.137728684846394</v>
      </c>
      <c r="D66" s="279">
        <f>+'NEW...Tables 91-112'!J103+'NEW...Tables 91-112'!K103</f>
        <v>63.703723981859163</v>
      </c>
      <c r="E66" s="279">
        <f>+'NEW...Tables 91-112'!J134+'NEW...Tables 91-112'!K134</f>
        <v>65.381213514947817</v>
      </c>
      <c r="F66" s="279">
        <f>+'NEW...Tables 91-112'!J164+'NEW...Tables 91-112'!K164</f>
        <v>26.830230762631892</v>
      </c>
      <c r="G66" s="279">
        <f>+'NEW...Tables 91-112'!J195+'NEW...Tables 91-112'!K195</f>
        <v>0</v>
      </c>
      <c r="H66" s="280">
        <f>+'NEW...Tables 91-112'!J9+'NEW...Tables 91-112'!K9</f>
        <v>72.181449127059693</v>
      </c>
      <c r="I66" s="220"/>
      <c r="J66" s="220"/>
      <c r="K66" s="220"/>
      <c r="L66" s="220"/>
      <c r="M66" s="220"/>
    </row>
    <row r="67" spans="1:40" ht="15.75" customHeight="1">
      <c r="A67" s="25" t="s">
        <v>176</v>
      </c>
      <c r="B67" s="281">
        <f>+'NEW...Tables 91-112'!J42+'NEW...Tables 91-112'!K42</f>
        <v>60.982286401228215</v>
      </c>
      <c r="C67" s="281">
        <f>+'NEW...Tables 91-112'!J73+'NEW...Tables 91-112'!K73</f>
        <v>0</v>
      </c>
      <c r="D67" s="281">
        <f>+'NEW...Tables 91-112'!J104+'NEW...Tables 91-112'!K104</f>
        <v>52.867518307469204</v>
      </c>
      <c r="E67" s="281">
        <f>+'NEW...Tables 91-112'!J135+'NEW...Tables 91-112'!K135</f>
        <v>60.036066028575391</v>
      </c>
      <c r="F67" s="281">
        <f>+'NEW...Tables 91-112'!J165+'NEW...Tables 91-112'!K165</f>
        <v>50.937950937950937</v>
      </c>
      <c r="G67" s="281">
        <f>+'NEW...Tables 91-112'!J196+'NEW...Tables 91-112'!K196</f>
        <v>86.472148541114052</v>
      </c>
      <c r="H67" s="276">
        <f>+'NEW...Tables 91-112'!J10+'NEW...Tables 91-112'!K10</f>
        <v>60.982286401228215</v>
      </c>
      <c r="I67" s="220"/>
      <c r="J67" s="220"/>
      <c r="K67" s="220"/>
      <c r="L67" s="220"/>
      <c r="M67" s="220"/>
    </row>
    <row r="68" spans="1:40" ht="15.75" customHeight="1">
      <c r="A68" s="25" t="s">
        <v>177</v>
      </c>
      <c r="B68" s="281">
        <f>+'NEW...Tables 91-112'!J43+'NEW...Tables 91-112'!K43</f>
        <v>89.836643329999518</v>
      </c>
      <c r="C68" s="281">
        <f>+'NEW...Tables 91-112'!J74+'NEW...Tables 91-112'!K74</f>
        <v>0</v>
      </c>
      <c r="D68" s="281">
        <f>+'NEW...Tables 91-112'!J105+'NEW...Tables 91-112'!K105</f>
        <v>0</v>
      </c>
      <c r="E68" s="281">
        <f>+'NEW...Tables 91-112'!J136+'NEW...Tables 91-112'!K136</f>
        <v>69.058415577487324</v>
      </c>
      <c r="F68" s="281">
        <f>+'NEW...Tables 91-112'!J166+'NEW...Tables 91-112'!K166</f>
        <v>0</v>
      </c>
      <c r="G68" s="281">
        <f>+'NEW...Tables 91-112'!J197+'NEW...Tables 91-112'!K197</f>
        <v>0</v>
      </c>
      <c r="H68" s="276">
        <f>+'NEW...Tables 91-112'!J11+'NEW...Tables 91-112'!K11</f>
        <v>89.836643329999518</v>
      </c>
      <c r="I68" s="220"/>
      <c r="J68" s="220"/>
      <c r="K68" s="220"/>
      <c r="L68" s="220"/>
      <c r="M68" s="220"/>
    </row>
    <row r="69" spans="1:40" ht="15.75" customHeight="1">
      <c r="A69" s="25" t="s">
        <v>178</v>
      </c>
      <c r="B69" s="281">
        <f>+'NEW...Tables 91-112'!J44+'NEW...Tables 91-112'!K44</f>
        <v>78.68320376816834</v>
      </c>
      <c r="C69" s="281">
        <f>+'NEW...Tables 91-112'!J75+'NEW...Tables 91-112'!K75</f>
        <v>75.96170981949642</v>
      </c>
      <c r="D69" s="281">
        <f>+'NEW...Tables 91-112'!J106+'NEW...Tables 91-112'!K106</f>
        <v>76.839725770343577</v>
      </c>
      <c r="E69" s="281">
        <f>+'NEW...Tables 91-112'!J137+'NEW...Tables 91-112'!K137</f>
        <v>60.85214706005091</v>
      </c>
      <c r="F69" s="281">
        <f>+'NEW...Tables 91-112'!J167+'NEW...Tables 91-112'!K167</f>
        <v>0</v>
      </c>
      <c r="G69" s="281">
        <f>+'NEW...Tables 91-112'!J198+'NEW...Tables 91-112'!K198</f>
        <v>0</v>
      </c>
      <c r="H69" s="276">
        <f>+'NEW...Tables 91-112'!J12+'NEW...Tables 91-112'!K12</f>
        <v>78.68320376816834</v>
      </c>
      <c r="I69" s="220"/>
      <c r="J69" s="220"/>
      <c r="K69" s="220"/>
      <c r="L69" s="220"/>
      <c r="M69" s="220"/>
    </row>
    <row r="70" spans="1:40" ht="15.75" customHeight="1">
      <c r="A70" s="25"/>
      <c r="B70" s="281"/>
      <c r="C70" s="281"/>
      <c r="D70" s="281"/>
      <c r="E70" s="281"/>
      <c r="F70" s="281"/>
      <c r="G70" s="281"/>
      <c r="H70" s="276"/>
      <c r="I70" s="220"/>
      <c r="J70" s="220"/>
      <c r="K70" s="220"/>
      <c r="L70" s="220"/>
      <c r="M70" s="220"/>
    </row>
    <row r="71" spans="1:40" ht="15.75" customHeight="1">
      <c r="A71" s="25" t="s">
        <v>179</v>
      </c>
      <c r="B71" s="281">
        <f>+'NEW...Tables 91-112'!J46+'NEW...Tables 91-112'!K46</f>
        <v>0</v>
      </c>
      <c r="C71" s="281">
        <f>+'NEW...Tables 91-112'!J77+'NEW...Tables 91-112'!K77</f>
        <v>0</v>
      </c>
      <c r="D71" s="281">
        <f>+'NEW...Tables 91-112'!J108+'NEW...Tables 91-112'!K108</f>
        <v>0</v>
      </c>
      <c r="E71" s="281">
        <f>+'NEW...Tables 91-112'!J139+'NEW...Tables 91-112'!K139</f>
        <v>0</v>
      </c>
      <c r="F71" s="281">
        <f>+'NEW...Tables 91-112'!J169+'NEW...Tables 91-112'!K169</f>
        <v>0</v>
      </c>
      <c r="G71" s="281">
        <f>+'NEW...Tables 91-112'!J200+'NEW...Tables 91-112'!K200</f>
        <v>0</v>
      </c>
      <c r="H71" s="276">
        <f>+'NEW...Tables 91-112'!J14+'NEW...Tables 91-112'!K14</f>
        <v>0</v>
      </c>
      <c r="I71" s="220"/>
      <c r="J71" s="220"/>
      <c r="K71" s="220"/>
      <c r="L71" s="220"/>
      <c r="M71" s="220"/>
    </row>
    <row r="72" spans="1:40" ht="15.75" customHeight="1">
      <c r="A72" s="25" t="s">
        <v>180</v>
      </c>
      <c r="B72" s="281">
        <f>+'NEW...Tables 91-112'!J47+'NEW...Tables 91-112'!K47</f>
        <v>72.418664792451054</v>
      </c>
      <c r="C72" s="281">
        <f>+'NEW...Tables 91-112'!J78+'NEW...Tables 91-112'!K78</f>
        <v>0</v>
      </c>
      <c r="D72" s="281">
        <f>+'NEW...Tables 91-112'!J109+'NEW...Tables 91-112'!K109</f>
        <v>50.786385100889696</v>
      </c>
      <c r="E72" s="281">
        <f>+'NEW...Tables 91-112'!J140+'NEW...Tables 91-112'!K140</f>
        <v>75.564772326156017</v>
      </c>
      <c r="F72" s="281">
        <f>+'NEW...Tables 91-112'!J170+'NEW...Tables 91-112'!K170</f>
        <v>0</v>
      </c>
      <c r="G72" s="281">
        <f>+'NEW...Tables 91-112'!J201+'NEW...Tables 91-112'!K201</f>
        <v>0</v>
      </c>
      <c r="H72" s="276">
        <f>+'NEW...Tables 91-112'!J15+'NEW...Tables 91-112'!K15</f>
        <v>72.418664792451054</v>
      </c>
      <c r="I72" s="220"/>
      <c r="J72" s="220"/>
      <c r="K72" s="220"/>
      <c r="L72" s="220"/>
      <c r="M72" s="220"/>
    </row>
    <row r="73" spans="1:40" ht="15.75" customHeight="1">
      <c r="A73" s="25" t="s">
        <v>181</v>
      </c>
      <c r="B73" s="281">
        <f>+'NEW...Tables 91-112'!J48+'NEW...Tables 91-112'!K48</f>
        <v>0</v>
      </c>
      <c r="C73" s="281">
        <f>+'NEW...Tables 91-112'!J79+'NEW...Tables 91-112'!K79</f>
        <v>0</v>
      </c>
      <c r="D73" s="281">
        <f>+'NEW...Tables 91-112'!J110+'NEW...Tables 91-112'!K110</f>
        <v>0</v>
      </c>
      <c r="E73" s="281">
        <f>+'NEW...Tables 91-112'!J141+'NEW...Tables 91-112'!K141</f>
        <v>0</v>
      </c>
      <c r="F73" s="281">
        <f>+'NEW...Tables 91-112'!J171+'NEW...Tables 91-112'!K171</f>
        <v>0</v>
      </c>
      <c r="G73" s="281">
        <f>+'NEW...Tables 91-112'!J202+'NEW...Tables 91-112'!K202</f>
        <v>0</v>
      </c>
      <c r="H73" s="276">
        <f>+'NEW...Tables 91-112'!J16+'NEW...Tables 91-112'!K16</f>
        <v>0</v>
      </c>
      <c r="I73" s="220"/>
      <c r="J73" s="220"/>
      <c r="K73" s="220"/>
      <c r="L73" s="220"/>
      <c r="M73" s="220"/>
    </row>
    <row r="74" spans="1:40" ht="15.75" customHeight="1">
      <c r="A74" s="25" t="s">
        <v>182</v>
      </c>
      <c r="B74" s="281">
        <f>+'NEW...Tables 91-112'!J49+'NEW...Tables 91-112'!K49</f>
        <v>59.792598434457162</v>
      </c>
      <c r="C74" s="281">
        <f>+'NEW...Tables 91-112'!J80+'NEW...Tables 91-112'!K80</f>
        <v>86.71529091877791</v>
      </c>
      <c r="D74" s="281">
        <f>+'NEW...Tables 91-112'!J111+'NEW...Tables 91-112'!K111</f>
        <v>85.988977555242613</v>
      </c>
      <c r="E74" s="281">
        <f>+'NEW...Tables 91-112'!J142+'NEW...Tables 91-112'!K142</f>
        <v>82.266902532683261</v>
      </c>
      <c r="F74" s="281">
        <f>+'NEW...Tables 91-112'!J172+'NEW...Tables 91-112'!K172</f>
        <v>0</v>
      </c>
      <c r="G74" s="281">
        <f>+'NEW...Tables 91-112'!J203+'NEW...Tables 91-112'!K203</f>
        <v>100</v>
      </c>
      <c r="H74" s="276">
        <f>+'NEW...Tables 91-112'!J17+'NEW...Tables 91-112'!K17</f>
        <v>59.792598434457162</v>
      </c>
      <c r="I74" s="220"/>
      <c r="J74" s="220"/>
      <c r="K74" s="220"/>
      <c r="L74" s="220"/>
      <c r="M74" s="220"/>
    </row>
    <row r="75" spans="1:40" ht="15.75" customHeight="1">
      <c r="A75" s="25"/>
      <c r="B75" s="281"/>
      <c r="C75" s="281"/>
      <c r="D75" s="281"/>
      <c r="E75" s="281"/>
      <c r="F75" s="281"/>
      <c r="G75" s="281"/>
      <c r="H75" s="276"/>
      <c r="I75" s="220"/>
      <c r="J75" s="220"/>
      <c r="K75" s="220"/>
      <c r="L75" s="220"/>
      <c r="M75" s="220"/>
    </row>
    <row r="76" spans="1:40" ht="15.75" customHeight="1">
      <c r="A76" s="25" t="s">
        <v>183</v>
      </c>
      <c r="B76" s="281">
        <f>+'NEW...Tables 91-112'!J51+'NEW...Tables 91-112'!K51</f>
        <v>78.521191479146111</v>
      </c>
      <c r="C76" s="281">
        <f>+'NEW...Tables 91-112'!J82+'NEW...Tables 91-112'!K82</f>
        <v>93.906034779614316</v>
      </c>
      <c r="D76" s="281">
        <f>+'NEW...Tables 91-112'!J113+'NEW...Tables 91-112'!K113</f>
        <v>0</v>
      </c>
      <c r="E76" s="281">
        <f>+'NEW...Tables 91-112'!J144+'NEW...Tables 91-112'!K144</f>
        <v>60.963667482722016</v>
      </c>
      <c r="F76" s="281">
        <f>+'NEW...Tables 91-112'!J174+'NEW...Tables 91-112'!K174</f>
        <v>72.089201877934258</v>
      </c>
      <c r="G76" s="281">
        <f>+'NEW...Tables 91-112'!J205+'NEW...Tables 91-112'!K205</f>
        <v>0</v>
      </c>
      <c r="H76" s="276">
        <f>+'NEW...Tables 91-112'!J19+'NEW...Tables 91-112'!K19</f>
        <v>78.521191479146111</v>
      </c>
      <c r="I76" s="220"/>
      <c r="J76" s="220"/>
      <c r="K76" s="220"/>
      <c r="L76" s="220"/>
      <c r="M76" s="220"/>
    </row>
    <row r="77" spans="1:40" ht="15.75" customHeight="1">
      <c r="A77" s="25" t="s">
        <v>184</v>
      </c>
      <c r="B77" s="281">
        <f>+'NEW...Tables 91-112'!J52+'NEW...Tables 91-112'!K52</f>
        <v>81.500736515821856</v>
      </c>
      <c r="C77" s="281">
        <f>+'NEW...Tables 91-112'!J83+'NEW...Tables 91-112'!K83</f>
        <v>85.900077977052476</v>
      </c>
      <c r="D77" s="281">
        <f>+'NEW...Tables 91-112'!J114+'NEW...Tables 91-112'!K114</f>
        <v>71.207062949930716</v>
      </c>
      <c r="E77" s="281">
        <f>+'NEW...Tables 91-112'!J145+'NEW...Tables 91-112'!K145</f>
        <v>75.33185840707965</v>
      </c>
      <c r="F77" s="281">
        <f>+'NEW...Tables 91-112'!J175+'NEW...Tables 91-112'!K175</f>
        <v>65.524578773666846</v>
      </c>
      <c r="G77" s="281">
        <f>+'NEW...Tables 91-112'!J206+'NEW...Tables 91-112'!K206</f>
        <v>67.084942084942085</v>
      </c>
      <c r="H77" s="276">
        <f>+'NEW...Tables 91-112'!J20+'NEW...Tables 91-112'!K20</f>
        <v>81.500736515821856</v>
      </c>
      <c r="I77" s="220"/>
      <c r="J77" s="220"/>
      <c r="K77" s="220"/>
      <c r="L77" s="220"/>
      <c r="M77" s="220"/>
    </row>
    <row r="78" spans="1:40" ht="15.75" customHeight="1">
      <c r="A78" s="25" t="s">
        <v>185</v>
      </c>
      <c r="B78" s="281">
        <f>+'NEW...Tables 91-112'!J53+'NEW...Tables 91-112'!K53</f>
        <v>77.647420178349336</v>
      </c>
      <c r="C78" s="281">
        <f>+'NEW...Tables 91-112'!J84+'NEW...Tables 91-112'!K84</f>
        <v>0</v>
      </c>
      <c r="D78" s="281">
        <f>+'NEW...Tables 91-112'!J115+'NEW...Tables 91-112'!K115</f>
        <v>88.329656281572809</v>
      </c>
      <c r="E78" s="281">
        <f>+'NEW...Tables 91-112'!J146+'NEW...Tables 91-112'!K146</f>
        <v>0</v>
      </c>
      <c r="F78" s="281">
        <f>+'NEW...Tables 91-112'!J176+'NEW...Tables 91-112'!K176</f>
        <v>60.307174566805102</v>
      </c>
      <c r="G78" s="281">
        <f>+'NEW...Tables 91-112'!J207+'NEW...Tables 91-112'!K207</f>
        <v>0</v>
      </c>
      <c r="H78" s="276">
        <f>+'NEW...Tables 91-112'!J21+'NEW...Tables 91-112'!K21</f>
        <v>77.647420178349336</v>
      </c>
      <c r="I78" s="220"/>
      <c r="J78" s="220"/>
      <c r="K78" s="220"/>
      <c r="L78" s="220"/>
      <c r="M78" s="220"/>
    </row>
    <row r="79" spans="1:40" ht="15.75" customHeight="1">
      <c r="A79" s="25" t="s">
        <v>186</v>
      </c>
      <c r="B79" s="281">
        <f>+'NEW...Tables 91-112'!J54+'NEW...Tables 91-112'!K54</f>
        <v>82.825435969702298</v>
      </c>
      <c r="C79" s="281">
        <f>+'NEW...Tables 91-112'!J85+'NEW...Tables 91-112'!K85</f>
        <v>0</v>
      </c>
      <c r="D79" s="281">
        <f>+'NEW...Tables 91-112'!J116+'NEW...Tables 91-112'!K116</f>
        <v>93.174088638537569</v>
      </c>
      <c r="E79" s="281">
        <f>+'NEW...Tables 91-112'!J147+'NEW...Tables 91-112'!K147</f>
        <v>90.474411654837496</v>
      </c>
      <c r="F79" s="281">
        <f>+'NEW...Tables 91-112'!J177+'NEW...Tables 91-112'!K177</f>
        <v>84.487848275304287</v>
      </c>
      <c r="G79" s="281">
        <f>+'NEW...Tables 91-112'!J208+'NEW...Tables 91-112'!K208</f>
        <v>71.502468845520809</v>
      </c>
      <c r="H79" s="276">
        <f>+'NEW...Tables 91-112'!J22+'NEW...Tables 91-112'!K22</f>
        <v>82.825435969702298</v>
      </c>
      <c r="I79" s="220"/>
      <c r="J79" s="220"/>
      <c r="K79" s="220"/>
      <c r="L79" s="220"/>
      <c r="M79" s="220"/>
    </row>
    <row r="80" spans="1:40" ht="15.75" customHeight="1">
      <c r="A80" s="25"/>
      <c r="B80" s="281"/>
      <c r="C80" s="281"/>
      <c r="D80" s="281"/>
      <c r="E80" s="281"/>
      <c r="F80" s="281"/>
      <c r="G80" s="281"/>
      <c r="H80" s="276"/>
      <c r="I80" s="220"/>
      <c r="J80" s="220"/>
      <c r="K80" s="220"/>
      <c r="L80" s="220"/>
      <c r="M80" s="220"/>
    </row>
    <row r="81" spans="1:40" ht="15.75" customHeight="1">
      <c r="A81" s="25" t="s">
        <v>187</v>
      </c>
      <c r="B81" s="281">
        <f>+'NEW...Tables 91-112'!J56+'NEW...Tables 91-112'!K56</f>
        <v>69.279014494810056</v>
      </c>
      <c r="C81" s="281">
        <f>+'NEW...Tables 91-112'!J87+'NEW...Tables 91-112'!K87</f>
        <v>80.831207414344306</v>
      </c>
      <c r="D81" s="281">
        <f>+'NEW...Tables 91-112'!J118+'NEW...Tables 91-112'!K118</f>
        <v>62.10139907585291</v>
      </c>
      <c r="E81" s="281">
        <f>+'NEW...Tables 91-112'!J149+'NEW...Tables 91-112'!K149</f>
        <v>0</v>
      </c>
      <c r="F81" s="281">
        <f>+'NEW...Tables 91-112'!J179+'NEW...Tables 91-112'!K179</f>
        <v>30.150823301508236</v>
      </c>
      <c r="G81" s="281">
        <f>+'NEW...Tables 91-112'!J210+'NEW...Tables 91-112'!K210</f>
        <v>0</v>
      </c>
      <c r="H81" s="276">
        <f>+'NEW...Tables 91-112'!J24+'NEW...Tables 91-112'!K24</f>
        <v>69.279014494810056</v>
      </c>
      <c r="I81" s="220"/>
      <c r="J81" s="220"/>
      <c r="K81" s="220"/>
      <c r="L81" s="220"/>
      <c r="M81" s="220"/>
    </row>
    <row r="82" spans="1:40" s="44" customFormat="1">
      <c r="A82" s="25" t="s">
        <v>188</v>
      </c>
      <c r="B82" s="281">
        <f>+'NEW...Tables 91-112'!J57+'NEW...Tables 91-112'!K57</f>
        <v>76.966727139195442</v>
      </c>
      <c r="C82" s="281">
        <f>+'NEW...Tables 91-112'!J88+'NEW...Tables 91-112'!K88</f>
        <v>70.503060287007045</v>
      </c>
      <c r="D82" s="281">
        <f>+'NEW...Tables 91-112'!J119+'NEW...Tables 91-112'!K119</f>
        <v>63.825537423670369</v>
      </c>
      <c r="E82" s="281">
        <f>+'NEW...Tables 91-112'!J150+'NEW...Tables 91-112'!K150</f>
        <v>31.688624817015416</v>
      </c>
      <c r="F82" s="281">
        <f>+'NEW...Tables 91-112'!J180+'NEW...Tables 91-112'!K180</f>
        <v>64.738292011019269</v>
      </c>
      <c r="G82" s="281">
        <f>+'NEW...Tables 91-112'!J211+'NEW...Tables 91-112'!K211</f>
        <v>91.990090834021458</v>
      </c>
      <c r="H82" s="276">
        <f>+'NEW...Tables 91-112'!J25+'NEW...Tables 91-112'!K25</f>
        <v>76.966727139195442</v>
      </c>
      <c r="I82" s="220"/>
      <c r="J82" s="220"/>
      <c r="K82" s="220"/>
      <c r="L82" s="220"/>
      <c r="M82" s="220"/>
      <c r="N82" s="207"/>
      <c r="O82" s="207"/>
      <c r="P82" s="213"/>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row>
    <row r="83" spans="1:40" s="44" customFormat="1">
      <c r="A83" s="25" t="s">
        <v>189</v>
      </c>
      <c r="B83" s="281">
        <f>+'NEW...Tables 91-112'!J58+'NEW...Tables 91-112'!K58</f>
        <v>91.833058625690157</v>
      </c>
      <c r="C83" s="281">
        <f>+'NEW...Tables 91-112'!J89+'NEW...Tables 91-112'!K89</f>
        <v>94.952224861481497</v>
      </c>
      <c r="D83" s="281">
        <f>+'NEW...Tables 91-112'!J120+'NEW...Tables 91-112'!K120</f>
        <v>87.902131479509819</v>
      </c>
      <c r="E83" s="281">
        <f>+'NEW...Tables 91-112'!J151+'NEW...Tables 91-112'!K151</f>
        <v>94.928002809646443</v>
      </c>
      <c r="F83" s="281">
        <f>+'NEW...Tables 91-112'!J181+'NEW...Tables 91-112'!K181</f>
        <v>80.667124384941076</v>
      </c>
      <c r="G83" s="281">
        <f>+'NEW...Tables 91-112'!J212+'NEW...Tables 91-112'!K212</f>
        <v>0</v>
      </c>
      <c r="H83" s="276">
        <f>+'NEW...Tables 91-112'!J26+'NEW...Tables 91-112'!K26</f>
        <v>91.833058625690157</v>
      </c>
      <c r="I83" s="220"/>
      <c r="J83" s="220"/>
      <c r="K83" s="220"/>
      <c r="L83" s="220"/>
      <c r="M83" s="220"/>
      <c r="N83" s="207"/>
      <c r="O83" s="207"/>
      <c r="P83" s="213"/>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row>
    <row r="84" spans="1:40" s="44" customFormat="1">
      <c r="A84" s="42" t="s">
        <v>190</v>
      </c>
      <c r="B84" s="277">
        <f>+'NEW...Tables 91-112'!J59+'NEW...Tables 91-112'!K59</f>
        <v>74.024113054649661</v>
      </c>
      <c r="C84" s="277">
        <f>+'NEW...Tables 91-112'!J90+'NEW...Tables 91-112'!K90</f>
        <v>0</v>
      </c>
      <c r="D84" s="277">
        <f>+'NEW...Tables 91-112'!J121+'NEW...Tables 91-112'!K121</f>
        <v>79.795540383497979</v>
      </c>
      <c r="E84" s="277">
        <f>+'NEW...Tables 91-112'!J152+'NEW...Tables 91-112'!K152</f>
        <v>0</v>
      </c>
      <c r="F84" s="277">
        <f>+'NEW...Tables 91-112'!J182+'NEW...Tables 91-112'!K182</f>
        <v>52.140891579526695</v>
      </c>
      <c r="G84" s="277">
        <f>+'NEW...Tables 91-112'!J213+'NEW...Tables 91-112'!K213</f>
        <v>44.765521796565395</v>
      </c>
      <c r="H84" s="278">
        <f>+'NEW...Tables 91-112'!J27+'NEW...Tables 91-112'!K27</f>
        <v>74.024113054649661</v>
      </c>
      <c r="I84" s="220"/>
      <c r="J84" s="220"/>
      <c r="K84" s="220"/>
      <c r="L84" s="220"/>
      <c r="M84" s="220"/>
      <c r="N84" s="207"/>
      <c r="O84" s="207"/>
      <c r="P84" s="213"/>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row>
    <row r="85" spans="1:40">
      <c r="A85" s="44"/>
      <c r="B85" s="44"/>
      <c r="C85" s="44"/>
      <c r="D85" s="44"/>
      <c r="E85" s="44"/>
      <c r="F85" s="44"/>
      <c r="G85" s="44"/>
      <c r="H85" s="45"/>
      <c r="I85" s="44"/>
      <c r="J85" s="46"/>
      <c r="K85" s="44"/>
      <c r="L85" s="44"/>
      <c r="M85" s="46"/>
      <c r="N85" s="44"/>
      <c r="O85" s="44"/>
      <c r="P85" s="45"/>
      <c r="Q85" s="44"/>
      <c r="R85" s="44"/>
      <c r="S85" s="44"/>
      <c r="T85" s="44"/>
      <c r="U85" s="44"/>
      <c r="V85" s="44"/>
      <c r="W85" s="44"/>
      <c r="X85" s="44"/>
      <c r="Y85" s="44"/>
      <c r="Z85" s="44"/>
      <c r="AA85" s="44"/>
      <c r="AB85" s="44"/>
      <c r="AC85" s="44"/>
      <c r="AD85" s="44"/>
      <c r="AE85" s="44"/>
      <c r="AF85" s="44"/>
      <c r="AG85" s="44"/>
      <c r="AH85" s="44"/>
      <c r="AI85" s="44"/>
      <c r="AJ85" s="44"/>
      <c r="AK85" s="44"/>
      <c r="AL85" s="44"/>
      <c r="AM85" s="44"/>
      <c r="AN85" s="44"/>
    </row>
    <row r="86" spans="1:40" s="25" customFormat="1">
      <c r="A86" s="65" t="s">
        <v>201</v>
      </c>
      <c r="B86" s="221"/>
      <c r="C86" s="221"/>
      <c r="D86" s="221"/>
      <c r="E86" s="221"/>
      <c r="F86" s="221"/>
      <c r="G86" s="221"/>
      <c r="H86" s="221"/>
      <c r="I86" s="44"/>
      <c r="J86" s="44"/>
      <c r="K86" s="44"/>
      <c r="L86" s="44"/>
      <c r="M86" s="46"/>
      <c r="N86" s="44"/>
      <c r="O86" s="44"/>
      <c r="P86" s="45"/>
      <c r="Q86" s="44"/>
      <c r="R86" s="44"/>
      <c r="S86" s="44"/>
      <c r="T86" s="44"/>
      <c r="U86" s="44"/>
      <c r="V86" s="44"/>
      <c r="W86" s="44"/>
      <c r="X86" s="44"/>
      <c r="Y86" s="44"/>
      <c r="Z86" s="44"/>
      <c r="AA86" s="44"/>
      <c r="AB86" s="44"/>
      <c r="AC86" s="44"/>
      <c r="AD86" s="44"/>
      <c r="AE86" s="44"/>
      <c r="AF86" s="44"/>
      <c r="AG86" s="44"/>
      <c r="AH86" s="44"/>
      <c r="AI86" s="44"/>
      <c r="AJ86" s="44"/>
      <c r="AK86" s="44"/>
      <c r="AL86" s="44"/>
      <c r="AM86" s="44"/>
      <c r="AN86" s="44"/>
    </row>
    <row r="87" spans="1:40">
      <c r="A87" s="44"/>
      <c r="B87" s="44"/>
      <c r="C87" s="44"/>
      <c r="D87" s="44"/>
      <c r="E87" s="44"/>
      <c r="F87" s="44"/>
      <c r="G87" s="44"/>
      <c r="H87" s="49" t="s">
        <v>900</v>
      </c>
      <c r="I87" s="44"/>
      <c r="J87" s="44"/>
      <c r="K87" s="44"/>
      <c r="L87" s="44"/>
      <c r="M87" s="46"/>
      <c r="N87" s="44"/>
      <c r="O87" s="44"/>
      <c r="P87" s="45"/>
      <c r="Q87" s="44"/>
      <c r="R87" s="44"/>
      <c r="S87" s="44"/>
      <c r="T87" s="44"/>
      <c r="U87" s="44"/>
      <c r="V87" s="44"/>
      <c r="W87" s="44"/>
      <c r="X87" s="44"/>
      <c r="Y87" s="44"/>
      <c r="Z87" s="44"/>
      <c r="AA87" s="44"/>
      <c r="AB87" s="44"/>
      <c r="AC87" s="44"/>
      <c r="AD87" s="44"/>
      <c r="AE87" s="44"/>
      <c r="AF87" s="44"/>
      <c r="AG87" s="44"/>
      <c r="AH87" s="44"/>
      <c r="AI87" s="44"/>
      <c r="AJ87" s="44"/>
      <c r="AK87" s="44"/>
      <c r="AL87" s="44"/>
      <c r="AM87" s="44"/>
      <c r="AN87" s="44"/>
    </row>
    <row r="88" spans="1:40" ht="18">
      <c r="A88" s="16" t="s">
        <v>202</v>
      </c>
      <c r="B88" s="17"/>
      <c r="C88" s="17"/>
      <c r="D88" s="17"/>
      <c r="E88" s="17"/>
      <c r="F88" s="17"/>
      <c r="G88" s="204"/>
      <c r="H88" s="205"/>
      <c r="I88" s="218" t="s">
        <v>39</v>
      </c>
      <c r="J88" s="218"/>
      <c r="K88" s="218"/>
      <c r="L88" s="218"/>
      <c r="M88" s="219"/>
    </row>
    <row r="89" spans="1:40">
      <c r="A89" s="22"/>
      <c r="B89" s="21"/>
      <c r="C89" s="21"/>
      <c r="D89" s="21"/>
      <c r="E89" s="21"/>
      <c r="F89" s="21"/>
      <c r="G89" s="21"/>
      <c r="H89" s="23"/>
      <c r="I89" s="60"/>
      <c r="J89" s="60"/>
      <c r="K89" s="60"/>
      <c r="L89" s="60"/>
      <c r="M89" s="61"/>
      <c r="N89" s="25"/>
      <c r="O89" s="25"/>
      <c r="P89" s="50"/>
      <c r="Q89" s="25"/>
      <c r="R89" s="25"/>
      <c r="S89" s="25"/>
      <c r="T89" s="25"/>
      <c r="U89" s="25"/>
      <c r="V89" s="25"/>
      <c r="W89" s="25"/>
      <c r="X89" s="25"/>
      <c r="Y89" s="25"/>
      <c r="Z89" s="25"/>
      <c r="AA89" s="25"/>
      <c r="AB89" s="25"/>
      <c r="AC89" s="25"/>
      <c r="AD89" s="25"/>
      <c r="AE89" s="25"/>
      <c r="AF89" s="25"/>
      <c r="AG89" s="25"/>
      <c r="AH89" s="25"/>
      <c r="AI89" s="25"/>
      <c r="AJ89" s="25"/>
      <c r="AK89" s="25"/>
      <c r="AL89" s="25"/>
      <c r="AM89" s="25"/>
      <c r="AN89" s="25"/>
    </row>
    <row r="90" spans="1:40" s="41" customFormat="1" ht="18">
      <c r="A90" s="208" t="s">
        <v>203</v>
      </c>
      <c r="B90" s="17"/>
      <c r="C90" s="17"/>
      <c r="D90" s="17"/>
      <c r="E90" s="17"/>
      <c r="F90" s="17"/>
      <c r="G90" s="204"/>
      <c r="H90" s="205"/>
      <c r="I90" s="218" t="s">
        <v>39</v>
      </c>
      <c r="J90" s="218"/>
      <c r="K90" s="218"/>
      <c r="L90" s="218"/>
      <c r="M90" s="219"/>
      <c r="N90" s="207"/>
      <c r="O90" s="207"/>
      <c r="P90" s="213"/>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row>
    <row r="91" spans="1:40" s="41" customFormat="1" ht="15.75">
      <c r="A91" s="208" t="s">
        <v>899</v>
      </c>
      <c r="B91" s="21"/>
      <c r="C91" s="21"/>
      <c r="D91" s="21"/>
      <c r="E91" s="21"/>
      <c r="F91" s="21"/>
      <c r="G91" s="204"/>
      <c r="H91" s="205"/>
      <c r="I91" s="218" t="s">
        <v>39</v>
      </c>
      <c r="J91" s="218"/>
      <c r="K91" s="218"/>
      <c r="L91" s="218"/>
      <c r="M91" s="219"/>
      <c r="N91" s="207"/>
      <c r="O91" s="207"/>
      <c r="P91" s="213"/>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row>
    <row r="92" spans="1:40" ht="11.25" customHeight="1">
      <c r="A92" s="222"/>
      <c r="B92" s="60"/>
      <c r="C92" s="60"/>
      <c r="D92" s="60"/>
      <c r="E92" s="60"/>
      <c r="F92" s="60"/>
      <c r="G92" s="218"/>
      <c r="H92" s="223"/>
      <c r="I92" s="218"/>
      <c r="J92" s="218"/>
      <c r="K92" s="218"/>
      <c r="L92" s="218"/>
      <c r="M92" s="219"/>
    </row>
    <row r="93" spans="1:40" ht="15.75" customHeight="1">
      <c r="A93" s="266"/>
      <c r="B93" s="265" t="s">
        <v>87</v>
      </c>
      <c r="C93" s="265"/>
      <c r="D93" s="265"/>
      <c r="E93" s="265"/>
      <c r="F93" s="265"/>
      <c r="G93" s="265"/>
      <c r="H93" s="265"/>
      <c r="I93" s="54"/>
      <c r="J93" s="54"/>
      <c r="K93" s="54"/>
      <c r="L93" s="54"/>
      <c r="M93" s="54"/>
      <c r="N93" s="54"/>
      <c r="O93" s="41"/>
      <c r="P93" s="63"/>
      <c r="Q93" s="41"/>
      <c r="R93" s="41"/>
      <c r="S93" s="41"/>
      <c r="T93" s="41"/>
      <c r="U93" s="41"/>
      <c r="V93" s="41"/>
      <c r="W93" s="41"/>
      <c r="X93" s="41"/>
      <c r="Y93" s="41"/>
      <c r="Z93" s="41"/>
      <c r="AA93" s="41"/>
      <c r="AB93" s="41"/>
      <c r="AC93" s="41"/>
      <c r="AD93" s="41"/>
      <c r="AE93" s="41"/>
      <c r="AF93" s="41"/>
      <c r="AG93" s="41"/>
      <c r="AH93" s="41"/>
      <c r="AI93" s="41"/>
      <c r="AJ93" s="41"/>
      <c r="AK93" s="41"/>
      <c r="AL93" s="41"/>
      <c r="AM93" s="41"/>
      <c r="AN93" s="41"/>
    </row>
    <row r="94" spans="1:40" ht="15.75" customHeight="1">
      <c r="A94" s="266"/>
      <c r="B94" s="267">
        <v>1</v>
      </c>
      <c r="C94" s="267">
        <v>2</v>
      </c>
      <c r="D94" s="267">
        <v>3</v>
      </c>
      <c r="E94" s="267">
        <v>4</v>
      </c>
      <c r="F94" s="267">
        <v>5</v>
      </c>
      <c r="G94" s="267">
        <v>6</v>
      </c>
      <c r="H94" s="262" t="s">
        <v>173</v>
      </c>
      <c r="I94" s="54"/>
      <c r="J94" s="54"/>
      <c r="K94" s="54"/>
      <c r="L94" s="54"/>
      <c r="M94" s="54"/>
      <c r="N94" s="54"/>
      <c r="O94" s="41"/>
      <c r="P94" s="63"/>
      <c r="Q94" s="41"/>
      <c r="R94" s="41"/>
      <c r="S94" s="41"/>
      <c r="T94" s="41"/>
      <c r="U94" s="41"/>
      <c r="V94" s="41"/>
      <c r="W94" s="41"/>
      <c r="X94" s="41"/>
      <c r="Y94" s="41"/>
      <c r="Z94" s="41"/>
      <c r="AA94" s="41"/>
      <c r="AB94" s="41"/>
      <c r="AC94" s="41"/>
      <c r="AD94" s="41"/>
      <c r="AE94" s="41"/>
      <c r="AF94" s="41"/>
      <c r="AG94" s="41"/>
      <c r="AH94" s="41"/>
      <c r="AI94" s="41"/>
      <c r="AJ94" s="41"/>
      <c r="AK94" s="41"/>
      <c r="AL94" s="41"/>
      <c r="AM94" s="41"/>
      <c r="AN94" s="41"/>
    </row>
    <row r="95" spans="1:40" ht="15.75" customHeight="1">
      <c r="A95" s="25" t="s">
        <v>175</v>
      </c>
      <c r="B95" s="177">
        <f>+'NEW...Tables 91-112'!L41</f>
        <v>27.818550872940314</v>
      </c>
      <c r="C95" s="177">
        <f>+'NEW...Tables 91-112'!L72</f>
        <v>16.862271315153606</v>
      </c>
      <c r="D95" s="177">
        <f>+'NEW...Tables 91-112'!L103</f>
        <v>36.296276018140837</v>
      </c>
      <c r="E95" s="177">
        <f>+'NEW...Tables 91-112'!L134</f>
        <v>34.618786485052183</v>
      </c>
      <c r="F95" s="177">
        <f>+'NEW...Tables 91-112'!L164</f>
        <v>73.169769237368115</v>
      </c>
      <c r="G95" s="177">
        <f>+'NEW...Tables 91-112'!L195</f>
        <v>0</v>
      </c>
      <c r="H95" s="169">
        <f>+'NEW...Tables 91-112'!L9</f>
        <v>27.818550872940314</v>
      </c>
      <c r="I95" s="220"/>
      <c r="J95" s="220"/>
      <c r="K95" s="220"/>
      <c r="L95" s="220"/>
      <c r="M95" s="220"/>
      <c r="N95" s="212"/>
    </row>
    <row r="96" spans="1:40" ht="15.75" customHeight="1">
      <c r="A96" s="25" t="s">
        <v>176</v>
      </c>
      <c r="B96" s="178">
        <f>+'NEW...Tables 91-112'!L42</f>
        <v>39.017713598771778</v>
      </c>
      <c r="C96" s="178">
        <f>+'NEW...Tables 91-112'!L73</f>
        <v>0</v>
      </c>
      <c r="D96" s="178">
        <f>+'NEW...Tables 91-112'!L104</f>
        <v>47.132481692530796</v>
      </c>
      <c r="E96" s="178">
        <f>+'NEW...Tables 91-112'!L135</f>
        <v>39.963933971424609</v>
      </c>
      <c r="F96" s="178">
        <f>+'NEW...Tables 91-112'!L165</f>
        <v>49.062049062049063</v>
      </c>
      <c r="G96" s="178">
        <f>+'NEW...Tables 91-112'!L196</f>
        <v>13.527851458885941</v>
      </c>
      <c r="H96" s="170">
        <f>+'NEW...Tables 91-112'!L10</f>
        <v>39.017713598771778</v>
      </c>
      <c r="I96" s="220"/>
      <c r="J96" s="220"/>
      <c r="K96" s="220"/>
      <c r="L96" s="220"/>
      <c r="M96" s="220"/>
      <c r="N96" s="212"/>
    </row>
    <row r="97" spans="1:40" ht="15.75" customHeight="1">
      <c r="A97" s="25" t="s">
        <v>177</v>
      </c>
      <c r="B97" s="178">
        <f>+'NEW...Tables 91-112'!L43</f>
        <v>10.163356670000475</v>
      </c>
      <c r="C97" s="178">
        <f>+'NEW...Tables 91-112'!L74</f>
        <v>0</v>
      </c>
      <c r="D97" s="178">
        <f>+'NEW...Tables 91-112'!L105</f>
        <v>0</v>
      </c>
      <c r="E97" s="178">
        <f>+'NEW...Tables 91-112'!L136</f>
        <v>30.941584422512669</v>
      </c>
      <c r="F97" s="178">
        <f>+'NEW...Tables 91-112'!L166</f>
        <v>0</v>
      </c>
      <c r="G97" s="178">
        <f>+'NEW...Tables 91-112'!L197</f>
        <v>0</v>
      </c>
      <c r="H97" s="170">
        <f>+'NEW...Tables 91-112'!L11</f>
        <v>10.163356670000475</v>
      </c>
      <c r="I97" s="220"/>
      <c r="J97" s="220"/>
      <c r="K97" s="220"/>
      <c r="L97" s="220"/>
      <c r="M97" s="220"/>
      <c r="N97" s="212"/>
    </row>
    <row r="98" spans="1:40" ht="15.75" customHeight="1">
      <c r="A98" s="25" t="s">
        <v>193</v>
      </c>
      <c r="B98" s="178">
        <f>+'NEW...Tables 91-112'!L44</f>
        <v>21.316796231831656</v>
      </c>
      <c r="C98" s="178">
        <f>+'NEW...Tables 91-112'!L75</f>
        <v>24.038290180503573</v>
      </c>
      <c r="D98" s="178">
        <f>+'NEW...Tables 91-112'!L106</f>
        <v>23.160274229656427</v>
      </c>
      <c r="E98" s="178">
        <f>+'NEW...Tables 91-112'!L137</f>
        <v>39.14785293994909</v>
      </c>
      <c r="F98" s="178">
        <f>+'NEW...Tables 91-112'!L167</f>
        <v>0</v>
      </c>
      <c r="G98" s="178">
        <f>+'NEW...Tables 91-112'!L198</f>
        <v>0</v>
      </c>
      <c r="H98" s="170">
        <f>+'NEW...Tables 91-112'!L12</f>
        <v>21.316796231831656</v>
      </c>
      <c r="I98" s="220"/>
      <c r="J98" s="220"/>
      <c r="K98" s="220"/>
      <c r="L98" s="220"/>
      <c r="M98" s="220"/>
      <c r="N98" s="212"/>
    </row>
    <row r="99" spans="1:40" ht="15.75" customHeight="1">
      <c r="A99" s="25"/>
      <c r="B99" s="178"/>
      <c r="C99" s="178"/>
      <c r="D99" s="178"/>
      <c r="E99" s="178"/>
      <c r="F99" s="178"/>
      <c r="G99" s="178"/>
      <c r="H99" s="170"/>
      <c r="I99" s="220"/>
      <c r="J99" s="220"/>
      <c r="K99" s="220"/>
      <c r="L99" s="220"/>
      <c r="M99" s="220"/>
      <c r="N99" s="212"/>
    </row>
    <row r="100" spans="1:40" ht="15.75" customHeight="1">
      <c r="A100" s="25" t="s">
        <v>179</v>
      </c>
      <c r="B100" s="178">
        <f>+'NEW...Tables 91-112'!L46</f>
        <v>0</v>
      </c>
      <c r="C100" s="178">
        <f>+'NEW...Tables 91-112'!L77</f>
        <v>0</v>
      </c>
      <c r="D100" s="178">
        <f>+'NEW...Tables 91-112'!L108</f>
        <v>0</v>
      </c>
      <c r="E100" s="178">
        <f>+'NEW...Tables 91-112'!L139</f>
        <v>0</v>
      </c>
      <c r="F100" s="178">
        <f>+'NEW...Tables 91-112'!L169</f>
        <v>0</v>
      </c>
      <c r="G100" s="178">
        <f>+'NEW...Tables 91-112'!L200</f>
        <v>0</v>
      </c>
      <c r="H100" s="170">
        <f>+'NEW...Tables 91-112'!L14</f>
        <v>0</v>
      </c>
      <c r="I100" s="220"/>
      <c r="J100" s="220"/>
      <c r="K100" s="220"/>
      <c r="L100" s="220"/>
      <c r="M100" s="220"/>
      <c r="N100" s="212"/>
    </row>
    <row r="101" spans="1:40" ht="15.75" customHeight="1">
      <c r="A101" s="25" t="s">
        <v>180</v>
      </c>
      <c r="B101" s="178">
        <f>+'NEW...Tables 91-112'!L47</f>
        <v>27.581335207548943</v>
      </c>
      <c r="C101" s="178">
        <f>+'NEW...Tables 91-112'!L78</f>
        <v>0</v>
      </c>
      <c r="D101" s="178">
        <f>+'NEW...Tables 91-112'!L109</f>
        <v>49.213614899110304</v>
      </c>
      <c r="E101" s="178">
        <f>+'NEW...Tables 91-112'!L140</f>
        <v>24.435227673843983</v>
      </c>
      <c r="F101" s="178">
        <f>+'NEW...Tables 91-112'!L170</f>
        <v>0</v>
      </c>
      <c r="G101" s="178">
        <f>+'NEW...Tables 91-112'!L201</f>
        <v>0</v>
      </c>
      <c r="H101" s="170">
        <f>+'NEW...Tables 91-112'!L15</f>
        <v>27.581335207548943</v>
      </c>
      <c r="I101" s="220"/>
      <c r="J101" s="220"/>
      <c r="K101" s="220"/>
      <c r="L101" s="220"/>
      <c r="M101" s="220"/>
      <c r="N101" s="212"/>
    </row>
    <row r="102" spans="1:40" ht="15.75" customHeight="1">
      <c r="A102" s="25" t="s">
        <v>181</v>
      </c>
      <c r="B102" s="178">
        <f>+'NEW...Tables 91-112'!L48</f>
        <v>0</v>
      </c>
      <c r="C102" s="178">
        <f>+'NEW...Tables 91-112'!L79</f>
        <v>0</v>
      </c>
      <c r="D102" s="178">
        <f>+'NEW...Tables 91-112'!L110</f>
        <v>0</v>
      </c>
      <c r="E102" s="178">
        <f>+'NEW...Tables 91-112'!L141</f>
        <v>0</v>
      </c>
      <c r="F102" s="178">
        <f>+'NEW...Tables 91-112'!L171</f>
        <v>0</v>
      </c>
      <c r="G102" s="178">
        <f>+'NEW...Tables 91-112'!L202</f>
        <v>0</v>
      </c>
      <c r="H102" s="170">
        <f>+'NEW...Tables 91-112'!L16</f>
        <v>0</v>
      </c>
      <c r="I102" s="220"/>
      <c r="J102" s="220"/>
      <c r="K102" s="220"/>
      <c r="L102" s="220"/>
      <c r="M102" s="220"/>
      <c r="N102" s="212"/>
    </row>
    <row r="103" spans="1:40" ht="15.75" customHeight="1">
      <c r="A103" s="25" t="s">
        <v>194</v>
      </c>
      <c r="B103" s="178">
        <f>+'NEW...Tables 91-112'!L49</f>
        <v>40.207401565542838</v>
      </c>
      <c r="C103" s="178">
        <f>+'NEW...Tables 91-112'!L80</f>
        <v>13.284709081222099</v>
      </c>
      <c r="D103" s="178">
        <f>+'NEW...Tables 91-112'!L111</f>
        <v>14.011022444757387</v>
      </c>
      <c r="E103" s="178">
        <f>+'NEW...Tables 91-112'!L142</f>
        <v>17.733097467316735</v>
      </c>
      <c r="F103" s="178">
        <f>+'NEW...Tables 91-112'!L172</f>
        <v>0</v>
      </c>
      <c r="G103" s="178">
        <f>+'NEW...Tables 91-112'!L203</f>
        <v>0</v>
      </c>
      <c r="H103" s="170">
        <f>+'NEW...Tables 91-112'!L17</f>
        <v>40.207401565542838</v>
      </c>
      <c r="I103" s="220"/>
      <c r="J103" s="220"/>
      <c r="K103" s="220"/>
      <c r="L103" s="220"/>
      <c r="M103" s="220"/>
      <c r="N103" s="212"/>
    </row>
    <row r="104" spans="1:40" ht="15.75" customHeight="1">
      <c r="A104" s="25"/>
      <c r="B104" s="178"/>
      <c r="C104" s="178"/>
      <c r="D104" s="178"/>
      <c r="E104" s="178"/>
      <c r="F104" s="178"/>
      <c r="G104" s="178"/>
      <c r="H104" s="170"/>
      <c r="I104" s="220"/>
      <c r="J104" s="220"/>
      <c r="K104" s="220"/>
      <c r="L104" s="220"/>
      <c r="M104" s="220"/>
      <c r="N104" s="212"/>
    </row>
    <row r="105" spans="1:40" ht="15.75" customHeight="1">
      <c r="A105" s="25" t="s">
        <v>183</v>
      </c>
      <c r="B105" s="178">
        <f>+'NEW...Tables 91-112'!L51</f>
        <v>21.478808520853885</v>
      </c>
      <c r="C105" s="178">
        <f>+'NEW...Tables 91-112'!L82</f>
        <v>6.0939652203856749</v>
      </c>
      <c r="D105" s="178">
        <f>+'NEW...Tables 91-112'!L113</f>
        <v>0</v>
      </c>
      <c r="E105" s="178">
        <f>+'NEW...Tables 91-112'!L144</f>
        <v>39.036332517277984</v>
      </c>
      <c r="F105" s="178">
        <f>+'NEW...Tables 91-112'!L174</f>
        <v>27.910798122065728</v>
      </c>
      <c r="G105" s="178">
        <f>+'NEW...Tables 91-112'!L205</f>
        <v>0</v>
      </c>
      <c r="H105" s="170">
        <f>+'NEW...Tables 91-112'!L19</f>
        <v>21.478808520853885</v>
      </c>
      <c r="I105" s="220"/>
      <c r="J105" s="220"/>
      <c r="K105" s="220"/>
      <c r="L105" s="220"/>
      <c r="M105" s="220"/>
      <c r="N105" s="212"/>
    </row>
    <row r="106" spans="1:40" ht="15.75" customHeight="1">
      <c r="A106" s="25" t="s">
        <v>184</v>
      </c>
      <c r="B106" s="178">
        <f>+'NEW...Tables 91-112'!L52</f>
        <v>18.499263484178144</v>
      </c>
      <c r="C106" s="178">
        <f>+'NEW...Tables 91-112'!L83</f>
        <v>14.099922022947531</v>
      </c>
      <c r="D106" s="178">
        <f>+'NEW...Tables 91-112'!L114</f>
        <v>28.792937050069288</v>
      </c>
      <c r="E106" s="178">
        <f>+'NEW...Tables 91-112'!L145</f>
        <v>24.668141592920353</v>
      </c>
      <c r="F106" s="178">
        <f>+'NEW...Tables 91-112'!L175</f>
        <v>34.475421226333161</v>
      </c>
      <c r="G106" s="178">
        <f>+'NEW...Tables 91-112'!L206</f>
        <v>32.915057915057915</v>
      </c>
      <c r="H106" s="170">
        <f>+'NEW...Tables 91-112'!L20</f>
        <v>18.499263484178144</v>
      </c>
      <c r="I106" s="220"/>
      <c r="J106" s="220"/>
      <c r="K106" s="220"/>
      <c r="L106" s="220"/>
      <c r="M106" s="220"/>
      <c r="N106" s="212"/>
    </row>
    <row r="107" spans="1:40" ht="15.75" customHeight="1">
      <c r="A107" s="25" t="s">
        <v>185</v>
      </c>
      <c r="B107" s="178">
        <f>+'NEW...Tables 91-112'!L53</f>
        <v>22.352579821650661</v>
      </c>
      <c r="C107" s="178">
        <f>+'NEW...Tables 91-112'!L84</f>
        <v>0</v>
      </c>
      <c r="D107" s="178">
        <f>+'NEW...Tables 91-112'!L115</f>
        <v>11.670343718427183</v>
      </c>
      <c r="E107" s="178">
        <f>+'NEW...Tables 91-112'!L146</f>
        <v>0</v>
      </c>
      <c r="F107" s="178">
        <f>+'NEW...Tables 91-112'!L176</f>
        <v>39.692825433194898</v>
      </c>
      <c r="G107" s="178">
        <f>+'NEW...Tables 91-112'!L207</f>
        <v>0</v>
      </c>
      <c r="H107" s="170">
        <f>+'NEW...Tables 91-112'!L21</f>
        <v>22.352579821650661</v>
      </c>
      <c r="I107" s="220"/>
      <c r="J107" s="220"/>
      <c r="K107" s="220"/>
      <c r="L107" s="220"/>
      <c r="M107" s="220"/>
      <c r="N107" s="212"/>
    </row>
    <row r="108" spans="1:40" ht="15.75" customHeight="1">
      <c r="A108" s="25" t="s">
        <v>186</v>
      </c>
      <c r="B108" s="178">
        <f>+'NEW...Tables 91-112'!L54</f>
        <v>17.174564030297692</v>
      </c>
      <c r="C108" s="178">
        <f>+'NEW...Tables 91-112'!L85</f>
        <v>0</v>
      </c>
      <c r="D108" s="178">
        <f>+'NEW...Tables 91-112'!L116</f>
        <v>6.8259113614624294</v>
      </c>
      <c r="E108" s="178">
        <f>+'NEW...Tables 91-112'!L147</f>
        <v>9.5255883451624968</v>
      </c>
      <c r="F108" s="178">
        <f>+'NEW...Tables 91-112'!L177</f>
        <v>15.512151724695702</v>
      </c>
      <c r="G108" s="178">
        <f>+'NEW...Tables 91-112'!L208</f>
        <v>28.497531154479194</v>
      </c>
      <c r="H108" s="170">
        <f>+'NEW...Tables 91-112'!L22</f>
        <v>17.174564030297692</v>
      </c>
      <c r="I108" s="220"/>
      <c r="J108" s="220"/>
      <c r="K108" s="220"/>
      <c r="L108" s="220"/>
      <c r="M108" s="220"/>
      <c r="N108" s="212"/>
    </row>
    <row r="109" spans="1:40" ht="15.75" customHeight="1">
      <c r="A109" s="25"/>
      <c r="B109" s="178"/>
      <c r="C109" s="178"/>
      <c r="D109" s="178"/>
      <c r="E109" s="178"/>
      <c r="F109" s="178"/>
      <c r="G109" s="178"/>
      <c r="H109" s="170"/>
      <c r="I109" s="220"/>
      <c r="J109" s="220"/>
      <c r="K109" s="220"/>
      <c r="L109" s="220"/>
      <c r="M109" s="220"/>
      <c r="N109" s="212"/>
    </row>
    <row r="110" spans="1:40" ht="15.75" customHeight="1">
      <c r="A110" s="25" t="s">
        <v>187</v>
      </c>
      <c r="B110" s="178">
        <f>+'NEW...Tables 91-112'!L56</f>
        <v>26.045696187235372</v>
      </c>
      <c r="C110" s="178">
        <f>+'NEW...Tables 91-112'!L87</f>
        <v>16.963218910453062</v>
      </c>
      <c r="D110" s="178">
        <f>+'NEW...Tables 91-112'!L118</f>
        <v>33.227872961912851</v>
      </c>
      <c r="E110" s="178">
        <f>+'NEW...Tables 91-112'!L149</f>
        <v>0</v>
      </c>
      <c r="F110" s="178">
        <f>+'NEW...Tables 91-112'!L179</f>
        <v>69.849176698491775</v>
      </c>
      <c r="G110" s="178">
        <f>+'NEW...Tables 91-112'!L210</f>
        <v>0</v>
      </c>
      <c r="H110" s="170">
        <f>+'NEW...Tables 91-112'!L24</f>
        <v>26.045696187235372</v>
      </c>
      <c r="I110" s="220"/>
      <c r="J110" s="220"/>
      <c r="K110" s="220"/>
      <c r="L110" s="220"/>
      <c r="M110" s="220"/>
      <c r="N110" s="212"/>
    </row>
    <row r="111" spans="1:40" ht="15.75" customHeight="1">
      <c r="A111" s="25" t="s">
        <v>188</v>
      </c>
      <c r="B111" s="178">
        <f>+'NEW...Tables 91-112'!L57</f>
        <v>23.033272860804562</v>
      </c>
      <c r="C111" s="178">
        <f>+'NEW...Tables 91-112'!L88</f>
        <v>29.496939712992958</v>
      </c>
      <c r="D111" s="178">
        <f>+'NEW...Tables 91-112'!L119</f>
        <v>36.174462576329624</v>
      </c>
      <c r="E111" s="178">
        <f>+'NEW...Tables 91-112'!L150</f>
        <v>68.311375182984577</v>
      </c>
      <c r="F111" s="178">
        <f>+'NEW...Tables 91-112'!L180</f>
        <v>35.261707988980717</v>
      </c>
      <c r="G111" s="178">
        <f>+'NEW...Tables 91-112'!L211</f>
        <v>8.0099091659785309</v>
      </c>
      <c r="H111" s="170">
        <f>+'NEW...Tables 91-112'!L25</f>
        <v>23.033272860804562</v>
      </c>
      <c r="I111" s="220"/>
      <c r="J111" s="220"/>
      <c r="K111" s="220"/>
      <c r="L111" s="220"/>
      <c r="M111" s="220"/>
      <c r="N111" s="212"/>
    </row>
    <row r="112" spans="1:40" s="44" customFormat="1" ht="15.75" customHeight="1">
      <c r="A112" s="25" t="s">
        <v>189</v>
      </c>
      <c r="B112" s="178">
        <f>+'NEW...Tables 91-112'!L58</f>
        <v>8.1669413743098467</v>
      </c>
      <c r="C112" s="178">
        <f>+'NEW...Tables 91-112'!L89</f>
        <v>5.0477751385184977</v>
      </c>
      <c r="D112" s="178">
        <f>+'NEW...Tables 91-112'!L120</f>
        <v>12.097868520490177</v>
      </c>
      <c r="E112" s="178">
        <f>+'NEW...Tables 91-112'!L151</f>
        <v>5.0719971903535477</v>
      </c>
      <c r="F112" s="178">
        <f>+'NEW...Tables 91-112'!L181</f>
        <v>19.332875615058931</v>
      </c>
      <c r="G112" s="178">
        <f>+'NEW...Tables 91-112'!L212</f>
        <v>0</v>
      </c>
      <c r="H112" s="170">
        <f>+'NEW...Tables 91-112'!L26</f>
        <v>8.1669413743098467</v>
      </c>
      <c r="I112" s="220"/>
      <c r="J112" s="220"/>
      <c r="K112" s="220"/>
      <c r="L112" s="220"/>
      <c r="M112" s="220"/>
      <c r="N112" s="212"/>
      <c r="O112" s="207"/>
      <c r="P112" s="213"/>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row>
    <row r="113" spans="1:40" s="44" customFormat="1" ht="13.5" customHeight="1">
      <c r="A113" s="42" t="s">
        <v>190</v>
      </c>
      <c r="B113" s="178">
        <f>+'NEW...Tables 91-112'!L59</f>
        <v>25.975886945350329</v>
      </c>
      <c r="C113" s="178">
        <f>+'NEW...Tables 91-112'!L90</f>
        <v>0</v>
      </c>
      <c r="D113" s="178">
        <f>+'NEW...Tables 91-112'!L121</f>
        <v>20.204459616502035</v>
      </c>
      <c r="E113" s="178">
        <f>+'NEW...Tables 91-112'!L152</f>
        <v>0</v>
      </c>
      <c r="F113" s="178">
        <f>+'NEW...Tables 91-112'!L182</f>
        <v>47.859108420473305</v>
      </c>
      <c r="G113" s="178">
        <f>+'NEW...Tables 91-112'!L213</f>
        <v>55.234478203434612</v>
      </c>
      <c r="H113" s="170">
        <f>+'NEW...Tables 91-112'!L27</f>
        <v>25.975886945350329</v>
      </c>
      <c r="I113" s="220"/>
      <c r="J113" s="220"/>
      <c r="K113" s="220"/>
      <c r="L113" s="220"/>
      <c r="M113" s="220"/>
      <c r="N113" s="212"/>
      <c r="O113" s="207"/>
      <c r="P113" s="213"/>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row>
    <row r="114" spans="1:40" s="44" customFormat="1" ht="28.5" customHeight="1">
      <c r="A114" s="636" t="s">
        <v>204</v>
      </c>
      <c r="B114" s="637"/>
      <c r="C114" s="637"/>
      <c r="D114" s="637"/>
      <c r="E114" s="637"/>
      <c r="F114" s="637"/>
      <c r="G114" s="637"/>
      <c r="H114" s="637"/>
      <c r="I114" s="69"/>
      <c r="J114" s="69"/>
      <c r="K114" s="69"/>
      <c r="L114" s="69"/>
      <c r="M114" s="69"/>
      <c r="N114" s="46"/>
      <c r="P114" s="45"/>
    </row>
    <row r="115" spans="1:40" ht="16.5" customHeight="1">
      <c r="A115" s="65" t="s">
        <v>197</v>
      </c>
      <c r="B115" s="224"/>
      <c r="C115" s="224"/>
      <c r="D115" s="224"/>
      <c r="E115" s="224"/>
      <c r="F115" s="224"/>
      <c r="G115" s="224"/>
      <c r="H115" s="224"/>
      <c r="I115" s="46"/>
      <c r="J115" s="46"/>
      <c r="K115" s="46"/>
      <c r="L115" s="46"/>
      <c r="M115" s="46"/>
      <c r="N115" s="46"/>
      <c r="O115" s="44"/>
      <c r="P115" s="45"/>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row>
    <row r="116" spans="1:40" ht="9.75" customHeight="1">
      <c r="A116" s="109"/>
      <c r="B116" s="152"/>
      <c r="C116" s="152"/>
      <c r="D116" s="152"/>
      <c r="E116" s="152"/>
      <c r="F116" s="152"/>
      <c r="G116" s="152"/>
      <c r="H116" s="217"/>
      <c r="I116" s="152"/>
      <c r="J116" s="152"/>
      <c r="K116" s="152"/>
      <c r="L116" s="152"/>
      <c r="M116" s="152"/>
      <c r="N116" s="152"/>
      <c r="O116" s="152"/>
      <c r="P116" s="217"/>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row>
    <row r="117" spans="1:40">
      <c r="A117" s="44"/>
      <c r="B117" s="44"/>
      <c r="C117" s="44"/>
      <c r="D117" s="44"/>
      <c r="E117" s="44"/>
      <c r="F117" s="44"/>
      <c r="G117" s="44"/>
      <c r="H117" s="49" t="s">
        <v>900</v>
      </c>
      <c r="I117" s="46"/>
      <c r="J117" s="46"/>
      <c r="K117" s="46"/>
      <c r="L117" s="46"/>
      <c r="M117" s="46"/>
      <c r="N117" s="46"/>
      <c r="O117" s="44"/>
      <c r="P117" s="45"/>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row>
  </sheetData>
  <mergeCells count="6">
    <mergeCell ref="A114:H114"/>
    <mergeCell ref="B5:H5"/>
    <mergeCell ref="I5:M5"/>
    <mergeCell ref="A29:P29"/>
    <mergeCell ref="A31:P31"/>
    <mergeCell ref="A54:P54"/>
  </mergeCells>
  <pageMargins left="0.7" right="0.7" top="0.75" bottom="0.75" header="0.3" footer="0.3"/>
  <pageSetup firstPageNumber="95" orientation="landscape" useFirstPageNumber="1" r:id="rId1"/>
  <headerFooter>
    <oddHeader>&amp;R&amp;"Arial,Regular"&amp;8SREB-State Data Exchange</oddHeader>
    <oddFooter>&amp;C&amp;P</oddFooter>
  </headerFooter>
  <rowBreaks count="3" manualBreakCount="3">
    <brk id="28" max="15" man="1"/>
    <brk id="57" max="15" man="1"/>
    <brk id="87"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P117"/>
  <sheetViews>
    <sheetView showGridLines="0" showZeros="0" tabSelected="1" view="pageLayout" zoomScaleNormal="100" zoomScaleSheetLayoutView="100" workbookViewId="0">
      <selection activeCell="P10" sqref="P10"/>
    </sheetView>
  </sheetViews>
  <sheetFormatPr defaultRowHeight="15"/>
  <cols>
    <col min="1" max="1" width="12.7109375" customWidth="1"/>
    <col min="2" max="7" width="7.28515625" customWidth="1"/>
    <col min="8" max="8" width="7.28515625" style="15" customWidth="1"/>
    <col min="9" max="9" width="7.28515625" style="207" customWidth="1"/>
    <col min="10" max="12" width="7.28515625" customWidth="1"/>
    <col min="13" max="13" width="7.28515625" style="14" customWidth="1"/>
    <col min="14" max="15" width="7.28515625" customWidth="1"/>
    <col min="16" max="16" width="7.28515625" style="15" customWidth="1"/>
  </cols>
  <sheetData>
    <row r="1" spans="1:16" ht="18">
      <c r="A1" s="153" t="s">
        <v>172</v>
      </c>
      <c r="B1" s="17"/>
      <c r="C1" s="17"/>
      <c r="D1" s="17"/>
      <c r="E1" s="17"/>
      <c r="F1" s="17"/>
      <c r="G1" s="18"/>
      <c r="H1" s="19"/>
      <c r="I1" s="204"/>
      <c r="J1" s="18"/>
      <c r="K1" s="18"/>
      <c r="L1" s="18"/>
      <c r="M1" s="20"/>
      <c r="N1" s="18"/>
      <c r="O1" s="18"/>
      <c r="P1" s="19"/>
    </row>
    <row r="2" spans="1:16" s="25" customFormat="1" ht="12.75">
      <c r="A2" s="22"/>
      <c r="B2" s="21"/>
      <c r="C2" s="21"/>
      <c r="D2" s="21"/>
      <c r="E2" s="21"/>
      <c r="F2" s="21"/>
      <c r="G2" s="21"/>
      <c r="H2" s="23"/>
      <c r="I2" s="21"/>
      <c r="J2" s="21"/>
      <c r="K2" s="21"/>
      <c r="L2" s="21"/>
      <c r="M2" s="24"/>
      <c r="N2" s="21"/>
      <c r="O2" s="21"/>
      <c r="P2" s="23"/>
    </row>
    <row r="3" spans="1:16" ht="15.75">
      <c r="A3" s="26" t="s">
        <v>264</v>
      </c>
      <c r="B3" s="21"/>
      <c r="C3" s="21"/>
      <c r="D3" s="21"/>
      <c r="E3" s="21"/>
      <c r="F3" s="21"/>
      <c r="G3" s="18"/>
      <c r="H3" s="19"/>
      <c r="I3" s="204"/>
      <c r="J3" s="18"/>
      <c r="K3" s="18"/>
      <c r="L3" s="18"/>
      <c r="M3" s="20"/>
      <c r="N3" s="18"/>
      <c r="O3" s="18"/>
      <c r="P3" s="19"/>
    </row>
    <row r="4" spans="1:16">
      <c r="A4" s="27"/>
      <c r="B4" s="28"/>
      <c r="C4" s="28"/>
      <c r="D4" s="28"/>
      <c r="E4" s="28"/>
      <c r="F4" s="28"/>
      <c r="G4" s="28"/>
      <c r="H4" s="29"/>
      <c r="I4" s="210"/>
      <c r="J4" s="28"/>
      <c r="K4" s="28"/>
      <c r="L4" s="28"/>
    </row>
    <row r="5" spans="1:16" s="34" customFormat="1" ht="18" customHeight="1">
      <c r="A5" s="30"/>
      <c r="B5" s="647" t="s">
        <v>87</v>
      </c>
      <c r="C5" s="647"/>
      <c r="D5" s="647"/>
      <c r="E5" s="647"/>
      <c r="F5" s="647"/>
      <c r="G5" s="647"/>
      <c r="H5" s="648"/>
      <c r="I5" s="649" t="s">
        <v>88</v>
      </c>
      <c r="J5" s="647"/>
      <c r="K5" s="647"/>
      <c r="L5" s="647"/>
      <c r="M5" s="647"/>
      <c r="N5" s="31" t="s">
        <v>89</v>
      </c>
      <c r="O5" s="32"/>
      <c r="P5" s="33"/>
    </row>
    <row r="6" spans="1:16" s="41" customFormat="1" ht="25.5">
      <c r="A6" s="35"/>
      <c r="B6" s="36">
        <v>1</v>
      </c>
      <c r="C6" s="36">
        <v>2</v>
      </c>
      <c r="D6" s="36">
        <v>3</v>
      </c>
      <c r="E6" s="36">
        <v>4</v>
      </c>
      <c r="F6" s="36">
        <v>5</v>
      </c>
      <c r="G6" s="36">
        <v>6</v>
      </c>
      <c r="H6" s="37" t="s">
        <v>173</v>
      </c>
      <c r="I6" s="38" t="s">
        <v>174</v>
      </c>
      <c r="J6" s="36">
        <v>1</v>
      </c>
      <c r="K6" s="36">
        <v>2</v>
      </c>
      <c r="L6" s="36">
        <v>3</v>
      </c>
      <c r="M6" s="39" t="s">
        <v>173</v>
      </c>
      <c r="N6" s="39">
        <v>1</v>
      </c>
      <c r="O6" s="36">
        <v>2</v>
      </c>
      <c r="P6" s="40" t="s">
        <v>173</v>
      </c>
    </row>
    <row r="7" spans="1:16" ht="15.75" customHeight="1">
      <c r="A7" s="25" t="s">
        <v>175</v>
      </c>
      <c r="B7" s="157">
        <f>+OLD...Tabs!B41+OLD...Tabs!C41</f>
        <v>95.743217345631138</v>
      </c>
      <c r="C7" s="157">
        <f>+OLD...Tabs!B72+OLD...Tabs!C72</f>
        <v>98.763822402692142</v>
      </c>
      <c r="D7" s="157">
        <f>+OLD...Tabs!B103+OLD...Tabs!C103</f>
        <v>83.62920218842811</v>
      </c>
      <c r="E7" s="157">
        <f>+OLD...Tabs!B134+OLD...Tabs!C134</f>
        <v>90.880540170909214</v>
      </c>
      <c r="F7" s="157">
        <f>+OLD...Tabs!B164+OLD...Tabs!C164</f>
        <v>96.924099687059169</v>
      </c>
      <c r="G7" s="157">
        <f>+OLD...Tabs!B195+OLD...Tabs!C195</f>
        <v>29.181522592218862</v>
      </c>
      <c r="H7" s="159">
        <f>+OLD...Tabs!B9+OLD...Tabs!C9</f>
        <v>90.000649240178589</v>
      </c>
      <c r="I7" s="162">
        <f>+OLD...Tabs!B257+OLD...Tabs!C257</f>
        <v>0</v>
      </c>
      <c r="J7" s="157">
        <f>+OLD...Tabs!B288+OLD...Tabs!C288</f>
        <v>81.127260392570804</v>
      </c>
      <c r="K7" s="157">
        <f>+OLD...Tabs!B319+OLD...Tabs!C319</f>
        <v>86.444868356909197</v>
      </c>
      <c r="L7" s="157">
        <f>+OLD...Tabs!B349+OLD...Tabs!C349</f>
        <v>77.850799289520424</v>
      </c>
      <c r="M7" s="162">
        <f>+OLD...Tabs!B226+OLD...Tabs!C226</f>
        <v>83.480339778967306</v>
      </c>
      <c r="N7" s="165">
        <f>+OLD...Tabs!B410+OLD...Tabs!C410</f>
        <v>92.477422209706944</v>
      </c>
      <c r="O7" s="167">
        <f>+OLD...Tabs!B440+OLD...Tabs!C440</f>
        <v>91.862355832860658</v>
      </c>
      <c r="P7" s="169">
        <f>+OLD...Tabs!B380+OLD...Tabs!C380</f>
        <v>92.099308805752713</v>
      </c>
    </row>
    <row r="8" spans="1:16" ht="15.75" customHeight="1">
      <c r="A8" s="25" t="s">
        <v>176</v>
      </c>
      <c r="B8" s="157">
        <f>+OLD...Tabs!B42+OLD...Tabs!C42</f>
        <v>96.807820617646243</v>
      </c>
      <c r="C8" s="157">
        <f>+OLD...Tabs!B73+OLD...Tabs!C73</f>
        <v>0</v>
      </c>
      <c r="D8" s="157">
        <f>+OLD...Tabs!B104+OLD...Tabs!C104</f>
        <v>84.696089738485369</v>
      </c>
      <c r="E8" s="157">
        <f>+OLD...Tabs!B135+OLD...Tabs!C135</f>
        <v>88.101259229356856</v>
      </c>
      <c r="F8" s="157">
        <f>+OLD...Tabs!B165+OLD...Tabs!C165</f>
        <v>85.983254706957382</v>
      </c>
      <c r="G8" s="157">
        <f>+OLD...Tabs!B196+OLD...Tabs!C196</f>
        <v>89.413622916160989</v>
      </c>
      <c r="H8" s="160">
        <f>+OLD...Tabs!B10+OLD...Tabs!C10</f>
        <v>88.951774051439813</v>
      </c>
      <c r="I8" s="162">
        <f>+OLD...Tabs!B258+OLD...Tabs!C258</f>
        <v>0</v>
      </c>
      <c r="J8" s="157">
        <f>+OLD...Tabs!B289+OLD...Tabs!C289</f>
        <v>72.917640459942035</v>
      </c>
      <c r="K8" s="157">
        <f>+OLD...Tabs!B320+OLD...Tabs!C320</f>
        <v>83.661735454997526</v>
      </c>
      <c r="L8" s="157">
        <f>+OLD...Tabs!B350+OLD...Tabs!C350</f>
        <v>82.366508773818495</v>
      </c>
      <c r="M8" s="162">
        <f>+OLD...Tabs!B227+OLD...Tabs!C227</f>
        <v>79.638588135151139</v>
      </c>
      <c r="N8" s="165">
        <f>+OLD...Tabs!B411+OLD...Tabs!C411</f>
        <v>0</v>
      </c>
      <c r="O8" s="167">
        <f>+OLD...Tabs!B441+OLD...Tabs!C441</f>
        <v>0</v>
      </c>
      <c r="P8" s="170">
        <f>+OLD...Tabs!B381+OLD...Tabs!C381</f>
        <v>0</v>
      </c>
    </row>
    <row r="9" spans="1:16" ht="15.75" customHeight="1">
      <c r="A9" s="25" t="s">
        <v>177</v>
      </c>
      <c r="B9" s="157">
        <f>+OLD...Tabs!B43+OLD...Tabs!C43</f>
        <v>96.498667102945845</v>
      </c>
      <c r="C9" s="157">
        <f>+OLD...Tabs!B74+OLD...Tabs!C74</f>
        <v>0</v>
      </c>
      <c r="D9" s="157">
        <f>+OLD...Tabs!B105+OLD...Tabs!C105</f>
        <v>0</v>
      </c>
      <c r="E9" s="157">
        <f>+OLD...Tabs!B136+OLD...Tabs!C136</f>
        <v>99.90897799353364</v>
      </c>
      <c r="F9" s="157">
        <f>+OLD...Tabs!B166+OLD...Tabs!C166</f>
        <v>0</v>
      </c>
      <c r="G9" s="157">
        <f>+OLD...Tabs!B197+OLD...Tabs!C197</f>
        <v>0</v>
      </c>
      <c r="H9" s="160">
        <f>+OLD...Tabs!B11+OLD...Tabs!C11</f>
        <v>97.07414553913992</v>
      </c>
      <c r="I9" s="162">
        <f>+OLD...Tabs!B259+OLD...Tabs!C259</f>
        <v>0</v>
      </c>
      <c r="J9" s="157">
        <f>+OLD...Tabs!B290+OLD...Tabs!C290</f>
        <v>89.670539062019799</v>
      </c>
      <c r="K9" s="157">
        <f>+OLD...Tabs!B321+OLD...Tabs!C321</f>
        <v>83.063343085797726</v>
      </c>
      <c r="L9" s="157">
        <f>+OLD...Tabs!B351+OLD...Tabs!C351</f>
        <v>0</v>
      </c>
      <c r="M9" s="162">
        <f>+OLD...Tabs!B228+OLD...Tabs!C228</f>
        <v>86.192681783644204</v>
      </c>
      <c r="N9" s="165">
        <f>+OLD...Tabs!B412+OLD...Tabs!C412</f>
        <v>0</v>
      </c>
      <c r="O9" s="167">
        <f>+OLD...Tabs!B442+OLD...Tabs!C442</f>
        <v>0</v>
      </c>
      <c r="P9" s="170">
        <f>+OLD...Tabs!B382+OLD...Tabs!C382</f>
        <v>0</v>
      </c>
    </row>
    <row r="10" spans="1:16" ht="15.75" customHeight="1">
      <c r="A10" s="25" t="s">
        <v>178</v>
      </c>
      <c r="B10" s="157">
        <f>+OLD...Tabs!B44+OLD...Tabs!C44</f>
        <v>80.444012484438645</v>
      </c>
      <c r="C10" s="157">
        <f>+OLD...Tabs!B75+OLD...Tabs!C75</f>
        <v>93.504257016843923</v>
      </c>
      <c r="D10" s="157">
        <f>+OLD...Tabs!B106+OLD...Tabs!C106</f>
        <v>86.283339433262412</v>
      </c>
      <c r="E10" s="157">
        <f>+OLD...Tabs!B137+OLD...Tabs!C137</f>
        <v>80.732303411538453</v>
      </c>
      <c r="F10" s="157">
        <f>+OLD...Tabs!B167+OLD...Tabs!C167</f>
        <v>0</v>
      </c>
      <c r="G10" s="157">
        <f>+OLD...Tabs!B198+OLD...Tabs!C198</f>
        <v>100</v>
      </c>
      <c r="H10" s="160">
        <f>+OLD...Tabs!B12+OLD...Tabs!C12</f>
        <v>82.401044486561247</v>
      </c>
      <c r="I10" s="162">
        <f>+OLD...Tabs!B260+OLD...Tabs!C260</f>
        <v>76.419910748399275</v>
      </c>
      <c r="J10" s="157">
        <f>+OLD...Tabs!B291+OLD...Tabs!C291</f>
        <v>78.665834264595219</v>
      </c>
      <c r="K10" s="157">
        <f>+OLD...Tabs!B322+OLD...Tabs!C322</f>
        <v>71.722792311027604</v>
      </c>
      <c r="L10" s="157">
        <f>+OLD...Tabs!B352+OLD...Tabs!C352</f>
        <v>71.655771469508366</v>
      </c>
      <c r="M10" s="162">
        <f>+OLD...Tabs!B229+OLD...Tabs!C229</f>
        <v>77.380625498281546</v>
      </c>
      <c r="N10" s="165">
        <f>+OLD...Tabs!B413+OLD...Tabs!C413</f>
        <v>0</v>
      </c>
      <c r="O10" s="167">
        <f>+OLD...Tabs!B443+OLD...Tabs!C443</f>
        <v>0</v>
      </c>
      <c r="P10" s="170">
        <f>+OLD...Tabs!B383+OLD...Tabs!C383</f>
        <v>0</v>
      </c>
    </row>
    <row r="11" spans="1:16" ht="15.75" customHeight="1">
      <c r="A11" s="25"/>
      <c r="B11" s="157"/>
      <c r="C11" s="157"/>
      <c r="D11" s="157"/>
      <c r="E11" s="157"/>
      <c r="F11" s="157"/>
      <c r="G11" s="157"/>
      <c r="H11" s="160"/>
      <c r="I11" s="162"/>
      <c r="J11" s="157"/>
      <c r="K11" s="157"/>
      <c r="L11" s="157"/>
      <c r="M11" s="162"/>
      <c r="N11" s="165"/>
      <c r="O11" s="167"/>
      <c r="P11" s="170"/>
    </row>
    <row r="12" spans="1:16" ht="15.75" customHeight="1">
      <c r="A12" s="25" t="s">
        <v>179</v>
      </c>
      <c r="B12" s="157">
        <f>+OLD...Tabs!B46+OLD...Tabs!C46</f>
        <v>0</v>
      </c>
      <c r="C12" s="157">
        <f>+OLD...Tabs!B77+OLD...Tabs!C77</f>
        <v>0</v>
      </c>
      <c r="D12" s="157">
        <f>+OLD...Tabs!B108+OLD...Tabs!C108</f>
        <v>0</v>
      </c>
      <c r="E12" s="157">
        <f>+OLD...Tabs!B139+OLD...Tabs!C139</f>
        <v>0</v>
      </c>
      <c r="F12" s="157">
        <f>+OLD...Tabs!B169+OLD...Tabs!C169</f>
        <v>0</v>
      </c>
      <c r="G12" s="157">
        <f>+OLD...Tabs!B200+OLD...Tabs!C200</f>
        <v>0</v>
      </c>
      <c r="H12" s="160">
        <f>+OLD...Tabs!B14+OLD...Tabs!C14</f>
        <v>0</v>
      </c>
      <c r="I12" s="162">
        <f>+OLD...Tabs!B262+OLD...Tabs!C262</f>
        <v>0</v>
      </c>
      <c r="J12" s="157">
        <f>+OLD...Tabs!B293+OLD...Tabs!C293</f>
        <v>0</v>
      </c>
      <c r="K12" s="157">
        <f>+OLD...Tabs!B324+OLD...Tabs!C324</f>
        <v>0</v>
      </c>
      <c r="L12" s="157">
        <f>+OLD...Tabs!B354+OLD...Tabs!C354</f>
        <v>0</v>
      </c>
      <c r="M12" s="162">
        <f>+OLD...Tabs!B231+OLD...Tabs!C231</f>
        <v>0</v>
      </c>
      <c r="N12" s="165">
        <f>+OLD...Tabs!B415+OLD...Tabs!C415</f>
        <v>80.024061191603707</v>
      </c>
      <c r="O12" s="167">
        <f>+OLD...Tabs!B445+OLD...Tabs!C445</f>
        <v>0</v>
      </c>
      <c r="P12" s="170">
        <f>+OLD...Tabs!B385+OLD...Tabs!C385</f>
        <v>80.024061191603707</v>
      </c>
    </row>
    <row r="13" spans="1:16" ht="15.75" customHeight="1">
      <c r="A13" s="25" t="s">
        <v>180</v>
      </c>
      <c r="B13" s="157">
        <f>+OLD...Tabs!B47+OLD...Tabs!C47</f>
        <v>95.700936380926265</v>
      </c>
      <c r="C13" s="157">
        <f>+OLD...Tabs!B78+OLD...Tabs!C78</f>
        <v>0</v>
      </c>
      <c r="D13" s="157">
        <f>+OLD...Tabs!B109+OLD...Tabs!C109</f>
        <v>85.55893228953785</v>
      </c>
      <c r="E13" s="157">
        <f>+OLD...Tabs!B140+OLD...Tabs!C140</f>
        <v>89.875987942644741</v>
      </c>
      <c r="F13" s="157">
        <f>+OLD...Tabs!B170+OLD...Tabs!C170</f>
        <v>0</v>
      </c>
      <c r="G13" s="157">
        <f>+OLD...Tabs!B201+OLD...Tabs!C201</f>
        <v>0</v>
      </c>
      <c r="H13" s="160">
        <f>+OLD...Tabs!B15+OLD...Tabs!C15</f>
        <v>89.896437623232032</v>
      </c>
      <c r="I13" s="162">
        <f>+OLD...Tabs!B263+OLD...Tabs!C263</f>
        <v>0</v>
      </c>
      <c r="J13" s="157">
        <f>+OLD...Tabs!B294+OLD...Tabs!C294</f>
        <v>78.503059499814711</v>
      </c>
      <c r="K13" s="157">
        <f>+OLD...Tabs!B325+OLD...Tabs!C325</f>
        <v>71.364291354125541</v>
      </c>
      <c r="L13" s="157">
        <f>+OLD...Tabs!B355+OLD...Tabs!C355</f>
        <v>68.55488813441282</v>
      </c>
      <c r="M13" s="162">
        <f>+OLD...Tabs!B232+OLD...Tabs!C232</f>
        <v>73.521247394075289</v>
      </c>
      <c r="N13" s="165">
        <f>+OLD...Tabs!B416+OLD...Tabs!C416</f>
        <v>92.459264322017248</v>
      </c>
      <c r="O13" s="167">
        <f>+OLD...Tabs!B446+OLD...Tabs!C446</f>
        <v>0</v>
      </c>
      <c r="P13" s="170">
        <f>+OLD...Tabs!B386+OLD...Tabs!C386</f>
        <v>92.459264322017248</v>
      </c>
    </row>
    <row r="14" spans="1:16" ht="15.75" customHeight="1">
      <c r="A14" s="25" t="s">
        <v>181</v>
      </c>
      <c r="B14" s="157">
        <f>+OLD...Tabs!B48+OLD...Tabs!C48</f>
        <v>0</v>
      </c>
      <c r="C14" s="157">
        <f>+OLD...Tabs!B79+OLD...Tabs!C79</f>
        <v>0</v>
      </c>
      <c r="D14" s="157">
        <f>+OLD...Tabs!B110+OLD...Tabs!C110</f>
        <v>0</v>
      </c>
      <c r="E14" s="157">
        <f>+OLD...Tabs!B141+OLD...Tabs!C141</f>
        <v>0</v>
      </c>
      <c r="F14" s="157">
        <f>+OLD...Tabs!B171+OLD...Tabs!C171</f>
        <v>0</v>
      </c>
      <c r="G14" s="157">
        <f>+OLD...Tabs!B202+OLD...Tabs!C202</f>
        <v>0</v>
      </c>
      <c r="H14" s="160">
        <f>+OLD...Tabs!B16+OLD...Tabs!C16</f>
        <v>0</v>
      </c>
      <c r="I14" s="162">
        <f>+OLD...Tabs!B264+OLD...Tabs!C264</f>
        <v>0</v>
      </c>
      <c r="J14" s="157">
        <f>+OLD...Tabs!B295+OLD...Tabs!C295</f>
        <v>0</v>
      </c>
      <c r="K14" s="157">
        <f>+OLD...Tabs!B326+OLD...Tabs!C326</f>
        <v>0</v>
      </c>
      <c r="L14" s="157">
        <f>+OLD...Tabs!B356+OLD...Tabs!C356</f>
        <v>0</v>
      </c>
      <c r="M14" s="162">
        <f>+OLD...Tabs!B233+OLD...Tabs!C233</f>
        <v>0</v>
      </c>
      <c r="N14" s="165">
        <f>+OLD...Tabs!B417+OLD...Tabs!C417</f>
        <v>0</v>
      </c>
      <c r="O14" s="167">
        <f>+OLD...Tabs!B447+OLD...Tabs!C447</f>
        <v>0</v>
      </c>
      <c r="P14" s="170">
        <f>+OLD...Tabs!B387+OLD...Tabs!C387</f>
        <v>0</v>
      </c>
    </row>
    <row r="15" spans="1:16" ht="15.75" customHeight="1">
      <c r="A15" s="25" t="s">
        <v>182</v>
      </c>
      <c r="B15" s="157">
        <f>+OLD...Tabs!B49+OLD...Tabs!C49</f>
        <v>98.615646794741863</v>
      </c>
      <c r="C15" s="157">
        <f>+OLD...Tabs!B80+OLD...Tabs!C80</f>
        <v>95.149059506128069</v>
      </c>
      <c r="D15" s="157">
        <f>+OLD...Tabs!B111+OLD...Tabs!C111</f>
        <v>95.041793669228596</v>
      </c>
      <c r="E15" s="157">
        <f>+OLD...Tabs!B142+OLD...Tabs!C142</f>
        <v>92.101218775892136</v>
      </c>
      <c r="F15" s="157">
        <f>+OLD...Tabs!B172+OLD...Tabs!C172</f>
        <v>0</v>
      </c>
      <c r="G15" s="157">
        <f>+OLD...Tabs!B203+OLD...Tabs!C203</f>
        <v>100</v>
      </c>
      <c r="H15" s="160">
        <f>+OLD...Tabs!B17+OLD...Tabs!C17</f>
        <v>83.986040761886699</v>
      </c>
      <c r="I15" s="162">
        <f>+OLD...Tabs!B265+OLD...Tabs!C265</f>
        <v>0</v>
      </c>
      <c r="J15" s="157">
        <f>+OLD...Tabs!B296+OLD...Tabs!C296</f>
        <v>87.688038373341612</v>
      </c>
      <c r="K15" s="157">
        <f>+OLD...Tabs!B327+OLD...Tabs!C327</f>
        <v>86.043569575761992</v>
      </c>
      <c r="L15" s="157">
        <f>+OLD...Tabs!B357+OLD...Tabs!C357</f>
        <v>85.965891059188337</v>
      </c>
      <c r="M15" s="162">
        <f>+OLD...Tabs!B234+OLD...Tabs!C234</f>
        <v>87.209654857876274</v>
      </c>
      <c r="N15" s="165">
        <f>+OLD...Tabs!B418+OLD...Tabs!C418</f>
        <v>0</v>
      </c>
      <c r="O15" s="167">
        <f>+OLD...Tabs!B448+OLD...Tabs!C448</f>
        <v>0</v>
      </c>
      <c r="P15" s="170">
        <f>+OLD...Tabs!B388+OLD...Tabs!C388</f>
        <v>0</v>
      </c>
    </row>
    <row r="16" spans="1:16" ht="15.75" customHeight="1">
      <c r="A16" s="25"/>
      <c r="B16" s="157"/>
      <c r="C16" s="157"/>
      <c r="D16" s="157"/>
      <c r="E16" s="157"/>
      <c r="F16" s="157"/>
      <c r="G16" s="157"/>
      <c r="H16" s="160"/>
      <c r="I16" s="162"/>
      <c r="J16" s="157"/>
      <c r="K16" s="157"/>
      <c r="L16" s="157"/>
      <c r="M16" s="162"/>
      <c r="N16" s="165"/>
      <c r="O16" s="167"/>
      <c r="P16" s="170"/>
    </row>
    <row r="17" spans="1:16" ht="15.75" customHeight="1">
      <c r="A17" s="25" t="s">
        <v>183</v>
      </c>
      <c r="B17" s="157">
        <f>+OLD...Tabs!B51+OLD...Tabs!C51</f>
        <v>92.618432895143116</v>
      </c>
      <c r="C17" s="157">
        <f>+OLD...Tabs!B82+OLD...Tabs!C82</f>
        <v>96.40908504256069</v>
      </c>
      <c r="D17" s="157">
        <f>+OLD...Tabs!B113+OLD...Tabs!C113</f>
        <v>0</v>
      </c>
      <c r="E17" s="157">
        <f>+OLD...Tabs!B144+OLD...Tabs!C144</f>
        <v>86.540853236641354</v>
      </c>
      <c r="F17" s="157">
        <f>+OLD...Tabs!B174+OLD...Tabs!C174</f>
        <v>69.584602691038327</v>
      </c>
      <c r="G17" s="157">
        <f>+OLD...Tabs!B205+OLD...Tabs!C205</f>
        <v>0</v>
      </c>
      <c r="H17" s="160">
        <f>+OLD...Tabs!B19+OLD...Tabs!C19</f>
        <v>92.218709300345623</v>
      </c>
      <c r="I17" s="162">
        <f>+OLD...Tabs!B267+OLD...Tabs!C267</f>
        <v>0</v>
      </c>
      <c r="J17" s="157">
        <f>+OLD...Tabs!B298+OLD...Tabs!C298</f>
        <v>79.418558883547462</v>
      </c>
      <c r="K17" s="157">
        <f>+OLD...Tabs!B329+OLD...Tabs!C329</f>
        <v>83.587410786165279</v>
      </c>
      <c r="L17" s="157">
        <f>+OLD...Tabs!B359+OLD...Tabs!C359</f>
        <v>90.252716599358834</v>
      </c>
      <c r="M17" s="162">
        <f>+OLD...Tabs!B236+OLD...Tabs!C236</f>
        <v>81.98158044404866</v>
      </c>
      <c r="N17" s="165">
        <f>+OLD...Tabs!B420+OLD...Tabs!C420</f>
        <v>0</v>
      </c>
      <c r="O17" s="167">
        <f>+OLD...Tabs!B450+OLD...Tabs!C450</f>
        <v>0</v>
      </c>
      <c r="P17" s="170">
        <f>+OLD...Tabs!B390+OLD...Tabs!C390</f>
        <v>0</v>
      </c>
    </row>
    <row r="18" spans="1:16" ht="15.75" customHeight="1">
      <c r="A18" s="25" t="s">
        <v>184</v>
      </c>
      <c r="B18" s="157">
        <f>+OLD...Tabs!B52+OLD...Tabs!C52</f>
        <v>90.930431265391604</v>
      </c>
      <c r="C18" s="157">
        <f>+OLD...Tabs!B83+OLD...Tabs!C83</f>
        <v>96.346784967472118</v>
      </c>
      <c r="D18" s="157">
        <f>+OLD...Tabs!B114+OLD...Tabs!C114</f>
        <v>92.013126188198541</v>
      </c>
      <c r="E18" s="157">
        <f>+OLD...Tabs!B145+OLD...Tabs!C145</f>
        <v>84.759958295645205</v>
      </c>
      <c r="F18" s="157">
        <f>+OLD...Tabs!B175+OLD...Tabs!C175</f>
        <v>84.880471812581675</v>
      </c>
      <c r="G18" s="157">
        <f>+OLD...Tabs!B206+OLD...Tabs!C206</f>
        <v>92.570463568310643</v>
      </c>
      <c r="H18" s="160">
        <f>+OLD...Tabs!B20+OLD...Tabs!C20</f>
        <v>91.451852590393258</v>
      </c>
      <c r="I18" s="162">
        <f>+OLD...Tabs!B268+OLD...Tabs!C268</f>
        <v>0</v>
      </c>
      <c r="J18" s="157">
        <f>+OLD...Tabs!B299+OLD...Tabs!C299</f>
        <v>78.738475691788224</v>
      </c>
      <c r="K18" s="157">
        <f>+OLD...Tabs!B330+OLD...Tabs!C330</f>
        <v>76.593908252604635</v>
      </c>
      <c r="L18" s="157">
        <f>+OLD...Tabs!B360+OLD...Tabs!C360</f>
        <v>75.414063823778591</v>
      </c>
      <c r="M18" s="162">
        <f>+OLD...Tabs!B237+OLD...Tabs!C237</f>
        <v>77.35839969057389</v>
      </c>
      <c r="N18" s="165">
        <f>+OLD...Tabs!B421+OLD...Tabs!C421</f>
        <v>0</v>
      </c>
      <c r="O18" s="167">
        <f>+OLD...Tabs!B451+OLD...Tabs!C451</f>
        <v>0</v>
      </c>
      <c r="P18" s="170">
        <f>+OLD...Tabs!B391+OLD...Tabs!C391</f>
        <v>0</v>
      </c>
    </row>
    <row r="19" spans="1:16" ht="15.75" customHeight="1">
      <c r="A19" s="25" t="s">
        <v>185</v>
      </c>
      <c r="B19" s="157">
        <f>+OLD...Tabs!B53+OLD...Tabs!C53</f>
        <v>90.350655974879729</v>
      </c>
      <c r="C19" s="157">
        <f>+OLD...Tabs!B84+OLD...Tabs!C84</f>
        <v>0</v>
      </c>
      <c r="D19" s="157">
        <f>+OLD...Tabs!B115+OLD...Tabs!C115</f>
        <v>91.875484144593173</v>
      </c>
      <c r="E19" s="157">
        <f>+OLD...Tabs!B146+OLD...Tabs!C146</f>
        <v>0</v>
      </c>
      <c r="F19" s="157">
        <f>+OLD...Tabs!B176+OLD...Tabs!C176</f>
        <v>83.572581969456465</v>
      </c>
      <c r="G19" s="157">
        <f>+OLD...Tabs!B207+OLD...Tabs!C207</f>
        <v>79.001450176092817</v>
      </c>
      <c r="H19" s="160">
        <f>+OLD...Tabs!B21+OLD...Tabs!C21</f>
        <v>87.644866677828603</v>
      </c>
      <c r="I19" s="162">
        <f>+OLD...Tabs!B269+OLD...Tabs!C269</f>
        <v>78.40560717043833</v>
      </c>
      <c r="J19" s="157">
        <f>+OLD...Tabs!B300+OLD...Tabs!C300</f>
        <v>80.318464613133386</v>
      </c>
      <c r="K19" s="157">
        <f>+OLD...Tabs!B331+OLD...Tabs!C331</f>
        <v>78.142999360022756</v>
      </c>
      <c r="L19" s="157">
        <f>+OLD...Tabs!B361+OLD...Tabs!C361</f>
        <v>68.559474132902594</v>
      </c>
      <c r="M19" s="162">
        <f>+OLD...Tabs!B238+OLD...Tabs!C238</f>
        <v>76.65007801250411</v>
      </c>
      <c r="N19" s="165">
        <f>+OLD...Tabs!B422+OLD...Tabs!C422</f>
        <v>0</v>
      </c>
      <c r="O19" s="167">
        <f>+OLD...Tabs!B452+OLD...Tabs!C452</f>
        <v>0</v>
      </c>
      <c r="P19" s="170">
        <f>+OLD...Tabs!B392+OLD...Tabs!C392</f>
        <v>0</v>
      </c>
    </row>
    <row r="20" spans="1:16" ht="15.75" customHeight="1">
      <c r="A20" s="25" t="s">
        <v>186</v>
      </c>
      <c r="B20" s="157">
        <f>+OLD...Tabs!B54+OLD...Tabs!C54</f>
        <v>96.115527127639197</v>
      </c>
      <c r="C20" s="157">
        <f>+OLD...Tabs!B85+OLD...Tabs!C85</f>
        <v>0</v>
      </c>
      <c r="D20" s="157">
        <f>+OLD...Tabs!B116+OLD...Tabs!C116</f>
        <v>99.928828788754956</v>
      </c>
      <c r="E20" s="157">
        <f>+OLD...Tabs!B147+OLD...Tabs!C147</f>
        <v>99.744981135590848</v>
      </c>
      <c r="F20" s="157">
        <f>+OLD...Tabs!B177+OLD...Tabs!C177</f>
        <v>97.765087926362085</v>
      </c>
      <c r="G20" s="157">
        <f>+OLD...Tabs!B208+OLD...Tabs!C208</f>
        <v>94.118305777868713</v>
      </c>
      <c r="H20" s="160">
        <f>+OLD...Tabs!B22+OLD...Tabs!C22</f>
        <v>96.940893620251401</v>
      </c>
      <c r="I20" s="162">
        <f>+OLD...Tabs!B270+OLD...Tabs!C270</f>
        <v>0</v>
      </c>
      <c r="J20" s="157">
        <f>+OLD...Tabs!B301+OLD...Tabs!C301</f>
        <v>79.794997505750317</v>
      </c>
      <c r="K20" s="157">
        <f>+OLD...Tabs!B332+OLD...Tabs!C332</f>
        <v>77.368983930587902</v>
      </c>
      <c r="L20" s="157">
        <f>+OLD...Tabs!B362+OLD...Tabs!C362</f>
        <v>87.156146123058136</v>
      </c>
      <c r="M20" s="162">
        <f>+OLD...Tabs!B239+OLD...Tabs!C239</f>
        <v>79.705301598401434</v>
      </c>
      <c r="N20" s="165">
        <f>+OLD...Tabs!B423+OLD...Tabs!C423</f>
        <v>0</v>
      </c>
      <c r="O20" s="167">
        <f>+OLD...Tabs!B453+OLD...Tabs!C453</f>
        <v>0</v>
      </c>
      <c r="P20" s="170">
        <f>+OLD...Tabs!B393+OLD...Tabs!C393</f>
        <v>0</v>
      </c>
    </row>
    <row r="21" spans="1:16" ht="15.75" customHeight="1">
      <c r="A21" s="25"/>
      <c r="B21" s="157"/>
      <c r="C21" s="157"/>
      <c r="D21" s="157"/>
      <c r="E21" s="157"/>
      <c r="F21" s="157"/>
      <c r="G21" s="157"/>
      <c r="H21" s="160"/>
      <c r="I21" s="162"/>
      <c r="J21" s="157"/>
      <c r="K21" s="157"/>
      <c r="L21" s="157"/>
      <c r="M21" s="162"/>
      <c r="N21" s="165"/>
      <c r="O21" s="167"/>
      <c r="P21" s="170"/>
    </row>
    <row r="22" spans="1:16" ht="15.75" customHeight="1">
      <c r="A22" s="25" t="s">
        <v>187</v>
      </c>
      <c r="B22" s="157">
        <f>+OLD...Tabs!B56+OLD...Tabs!C56</f>
        <v>85.63975205443495</v>
      </c>
      <c r="C22" s="157">
        <f>+OLD...Tabs!B87+OLD...Tabs!C87</f>
        <v>92.387943511249503</v>
      </c>
      <c r="D22" s="157">
        <f>+OLD...Tabs!B118+OLD...Tabs!C118</f>
        <v>85.618349417904554</v>
      </c>
      <c r="E22" s="157">
        <f>+OLD...Tabs!B149+OLD...Tabs!C149</f>
        <v>0</v>
      </c>
      <c r="F22" s="157">
        <f>+OLD...Tabs!B179+OLD...Tabs!C179</f>
        <v>93.792637693699788</v>
      </c>
      <c r="G22" s="157">
        <f>+OLD...Tabs!B210+OLD...Tabs!C210</f>
        <v>0</v>
      </c>
      <c r="H22" s="160">
        <f>+OLD...Tabs!B24+OLD...Tabs!C24</f>
        <v>86.543939818862697</v>
      </c>
      <c r="I22" s="162">
        <f>+OLD...Tabs!B272+OLD...Tabs!C272</f>
        <v>0</v>
      </c>
      <c r="J22" s="157">
        <f>+OLD...Tabs!B303+OLD...Tabs!C303</f>
        <v>77.965579377520584</v>
      </c>
      <c r="K22" s="157">
        <f>+OLD...Tabs!B334+OLD...Tabs!C334</f>
        <v>75.36264159974472</v>
      </c>
      <c r="L22" s="157">
        <f>+OLD...Tabs!B364+OLD...Tabs!C364</f>
        <v>0</v>
      </c>
      <c r="M22" s="162">
        <f>+OLD...Tabs!B241+OLD...Tabs!C241</f>
        <v>76.782886983348021</v>
      </c>
      <c r="N22" s="165">
        <f>+OLD...Tabs!B425+OLD...Tabs!C425</f>
        <v>0</v>
      </c>
      <c r="O22" s="167">
        <f>+OLD...Tabs!B455+OLD...Tabs!C455</f>
        <v>0</v>
      </c>
      <c r="P22" s="170">
        <f>+OLD...Tabs!B395+OLD...Tabs!C395</f>
        <v>0</v>
      </c>
    </row>
    <row r="23" spans="1:16" ht="15.75" customHeight="1">
      <c r="A23" s="25" t="s">
        <v>188</v>
      </c>
      <c r="B23" s="157">
        <f>+OLD...Tabs!B57+OLD...Tabs!C57</f>
        <v>92.773712010948771</v>
      </c>
      <c r="C23" s="157">
        <f>+OLD...Tabs!B88+OLD...Tabs!C88</f>
        <v>93.025314173271553</v>
      </c>
      <c r="D23" s="157">
        <f>+OLD...Tabs!B119+OLD...Tabs!C119</f>
        <v>92.323175451503161</v>
      </c>
      <c r="E23" s="157">
        <f>+OLD...Tabs!B150+OLD...Tabs!C150</f>
        <v>45.526479912686447</v>
      </c>
      <c r="F23" s="157">
        <f>+OLD...Tabs!B180+OLD...Tabs!C180</f>
        <v>82.526487656840658</v>
      </c>
      <c r="G23" s="157">
        <f>+OLD...Tabs!B211+OLD...Tabs!C211</f>
        <v>99.987874133505798</v>
      </c>
      <c r="H23" s="160">
        <f>+OLD...Tabs!B25+OLD...Tabs!C25</f>
        <v>92.069971812333321</v>
      </c>
      <c r="I23" s="162">
        <f>+OLD...Tabs!B273+OLD...Tabs!C273</f>
        <v>82.778108984555672</v>
      </c>
      <c r="J23" s="157">
        <f>+OLD...Tabs!B304+OLD...Tabs!C304</f>
        <v>82.921693425670142</v>
      </c>
      <c r="K23" s="157">
        <f>+OLD...Tabs!B335+OLD...Tabs!C335</f>
        <v>80.704199680933201</v>
      </c>
      <c r="L23" s="157">
        <f>+OLD...Tabs!B365+OLD...Tabs!C365</f>
        <v>76.325986862896684</v>
      </c>
      <c r="M23" s="162">
        <f>+OLD...Tabs!B242+OLD...Tabs!C242</f>
        <v>82.364251061089135</v>
      </c>
      <c r="N23" s="165">
        <f>+OLD...Tabs!B426+OLD...Tabs!C426</f>
        <v>0</v>
      </c>
      <c r="O23" s="167">
        <f>+OLD...Tabs!B456+OLD...Tabs!C456</f>
        <v>0</v>
      </c>
      <c r="P23" s="170">
        <f>+OLD...Tabs!B396+OLD...Tabs!C396</f>
        <v>0</v>
      </c>
    </row>
    <row r="24" spans="1:16" ht="15.75" customHeight="1">
      <c r="A24" s="25" t="s">
        <v>189</v>
      </c>
      <c r="B24" s="157">
        <f>+OLD...Tabs!B58+OLD...Tabs!C58</f>
        <v>96.128329672424783</v>
      </c>
      <c r="C24" s="157">
        <f>+OLD...Tabs!B89+OLD...Tabs!C89</f>
        <v>98.094886396290534</v>
      </c>
      <c r="D24" s="157">
        <f>+OLD...Tabs!B120+OLD...Tabs!C120</f>
        <v>97.190201729106633</v>
      </c>
      <c r="E24" s="157">
        <f>+OLD...Tabs!B151+OLD...Tabs!C151</f>
        <v>97.985432678330667</v>
      </c>
      <c r="F24" s="157">
        <f>+OLD...Tabs!B181+OLD...Tabs!C181</f>
        <v>97.831062752768389</v>
      </c>
      <c r="G24" s="157">
        <f>+OLD...Tabs!B212+OLD...Tabs!C212</f>
        <v>96.015016679719778</v>
      </c>
      <c r="H24" s="160">
        <f>+OLD...Tabs!B26+OLD...Tabs!C26</f>
        <v>96.943973335036674</v>
      </c>
      <c r="I24" s="162">
        <f>+OLD...Tabs!B274+OLD...Tabs!C274</f>
        <v>0</v>
      </c>
      <c r="J24" s="157">
        <f>+OLD...Tabs!B305+OLD...Tabs!C305</f>
        <v>77.436224828585836</v>
      </c>
      <c r="K24" s="157">
        <f>+OLD...Tabs!B336+OLD...Tabs!C336</f>
        <v>76.086045446089855</v>
      </c>
      <c r="L24" s="157">
        <f>+OLD...Tabs!B366+OLD...Tabs!C366</f>
        <v>70.074866602257956</v>
      </c>
      <c r="M24" s="162">
        <f>+OLD...Tabs!B243+OLD...Tabs!C243</f>
        <v>76.373091566225568</v>
      </c>
      <c r="N24" s="165">
        <f>+OLD...Tabs!B427+OLD...Tabs!C427</f>
        <v>0</v>
      </c>
      <c r="O24" s="167">
        <f>+OLD...Tabs!B457+OLD...Tabs!C457</f>
        <v>0</v>
      </c>
      <c r="P24" s="170">
        <f>+OLD...Tabs!B397+OLD...Tabs!C397</f>
        <v>0</v>
      </c>
    </row>
    <row r="25" spans="1:16" ht="15.75" customHeight="1">
      <c r="A25" s="42" t="s">
        <v>190</v>
      </c>
      <c r="B25" s="158">
        <f>+OLD...Tabs!B59+OLD...Tabs!C59</f>
        <v>93.464375882184711</v>
      </c>
      <c r="C25" s="158">
        <f>+OLD...Tabs!B90+OLD...Tabs!C90</f>
        <v>0</v>
      </c>
      <c r="D25" s="158">
        <f>+OLD...Tabs!B121+OLD...Tabs!C121</f>
        <v>86.999022482893452</v>
      </c>
      <c r="E25" s="158">
        <f>+OLD...Tabs!B152+OLD...Tabs!C152</f>
        <v>0</v>
      </c>
      <c r="F25" s="158">
        <f>+OLD...Tabs!B182+OLD...Tabs!C182</f>
        <v>93.108412919326199</v>
      </c>
      <c r="G25" s="158">
        <f>+OLD...Tabs!B213+OLD...Tabs!C213</f>
        <v>89.066427681479368</v>
      </c>
      <c r="H25" s="161">
        <f>+OLD...Tabs!B27+OLD...Tabs!C27</f>
        <v>91.202161206501856</v>
      </c>
      <c r="I25" s="163">
        <f>+OLD...Tabs!B275+OLD...Tabs!C275</f>
        <v>81.862061138519664</v>
      </c>
      <c r="J25" s="158">
        <f>+OLD...Tabs!B306+OLD...Tabs!C306</f>
        <v>0</v>
      </c>
      <c r="K25" s="158">
        <f>+OLD...Tabs!B337+OLD...Tabs!C337</f>
        <v>84.232906373098899</v>
      </c>
      <c r="L25" s="164">
        <f>+OLD...Tabs!B367+OLD...Tabs!C367</f>
        <v>82.476454417201523</v>
      </c>
      <c r="M25" s="163">
        <f>+OLD...Tabs!B244+OLD...Tabs!C244</f>
        <v>82.54931014504642</v>
      </c>
      <c r="N25" s="166">
        <f>+OLD...Tabs!B428+OLD...Tabs!C428</f>
        <v>0</v>
      </c>
      <c r="O25" s="168">
        <f>+OLD...Tabs!B458+OLD...Tabs!C458</f>
        <v>0</v>
      </c>
      <c r="P25" s="171">
        <f>+OLD...Tabs!B398+OLD...Tabs!C398</f>
        <v>0</v>
      </c>
    </row>
    <row r="26" spans="1:16" s="44" customFormat="1" ht="13.5" customHeight="1">
      <c r="A26" s="43" t="s">
        <v>191</v>
      </c>
      <c r="H26" s="45"/>
      <c r="J26" s="46"/>
      <c r="M26" s="46"/>
      <c r="P26" s="45"/>
    </row>
    <row r="27" spans="1:16" s="44" customFormat="1" ht="11.25">
      <c r="A27" s="47"/>
      <c r="H27" s="45"/>
      <c r="J27" s="46"/>
      <c r="M27" s="46"/>
      <c r="P27" s="45"/>
    </row>
    <row r="28" spans="1:16" s="44" customFormat="1" ht="11.25">
      <c r="H28" s="45"/>
      <c r="M28" s="48"/>
      <c r="P28" s="49" t="s">
        <v>900</v>
      </c>
    </row>
    <row r="29" spans="1:16" ht="18">
      <c r="A29" s="641" t="s">
        <v>192</v>
      </c>
      <c r="B29" s="641"/>
      <c r="C29" s="641"/>
      <c r="D29" s="641"/>
      <c r="E29" s="641"/>
      <c r="F29" s="641"/>
      <c r="G29" s="641"/>
      <c r="H29" s="641"/>
      <c r="I29" s="641"/>
      <c r="J29" s="641"/>
      <c r="K29" s="641"/>
      <c r="L29" s="641"/>
      <c r="M29" s="641"/>
      <c r="N29" s="641"/>
      <c r="O29" s="641"/>
      <c r="P29" s="641"/>
    </row>
    <row r="30" spans="1:16" s="25" customFormat="1" ht="12.75">
      <c r="A30" s="22"/>
      <c r="B30" s="21"/>
      <c r="C30" s="21"/>
      <c r="D30" s="21"/>
      <c r="E30" s="21"/>
      <c r="F30" s="21"/>
      <c r="G30" s="21"/>
      <c r="H30" s="23"/>
      <c r="I30" s="21"/>
      <c r="J30" s="21"/>
      <c r="K30" s="21"/>
      <c r="L30" s="21"/>
      <c r="M30" s="24"/>
      <c r="P30" s="50"/>
    </row>
    <row r="31" spans="1:16" ht="15.75">
      <c r="A31" s="650" t="s">
        <v>263</v>
      </c>
      <c r="B31" s="650"/>
      <c r="C31" s="650"/>
      <c r="D31" s="650"/>
      <c r="E31" s="650"/>
      <c r="F31" s="650"/>
      <c r="G31" s="650"/>
      <c r="H31" s="650"/>
      <c r="I31" s="650"/>
      <c r="J31" s="650"/>
      <c r="K31" s="650"/>
      <c r="L31" s="650"/>
      <c r="M31" s="650"/>
      <c r="N31" s="650"/>
      <c r="O31" s="650"/>
      <c r="P31" s="650"/>
    </row>
    <row r="32" spans="1:16" s="25" customFormat="1" ht="9.75" customHeight="1">
      <c r="A32" s="51"/>
      <c r="B32" s="21"/>
      <c r="C32" s="21"/>
      <c r="D32" s="21"/>
      <c r="E32" s="21"/>
      <c r="F32" s="21"/>
      <c r="G32" s="21"/>
      <c r="H32" s="23"/>
      <c r="I32" s="21"/>
      <c r="J32" s="21"/>
      <c r="K32" s="21"/>
      <c r="L32" s="21"/>
      <c r="M32" s="24"/>
      <c r="P32" s="50"/>
    </row>
    <row r="33" spans="1:16" s="34" customFormat="1" ht="18" customHeight="1">
      <c r="A33" s="30"/>
      <c r="B33" s="32" t="s">
        <v>87</v>
      </c>
      <c r="C33" s="32"/>
      <c r="D33" s="32"/>
      <c r="E33" s="32"/>
      <c r="F33" s="32"/>
      <c r="G33" s="32"/>
      <c r="H33" s="53"/>
      <c r="I33" s="31" t="s">
        <v>88</v>
      </c>
      <c r="J33" s="32"/>
      <c r="K33" s="32"/>
      <c r="L33" s="32"/>
      <c r="M33" s="32"/>
      <c r="N33" s="31" t="s">
        <v>89</v>
      </c>
      <c r="O33" s="32"/>
      <c r="P33" s="33"/>
    </row>
    <row r="34" spans="1:16" s="41" customFormat="1" ht="26.25" customHeight="1">
      <c r="A34" s="35"/>
      <c r="B34" s="36">
        <v>1</v>
      </c>
      <c r="C34" s="36">
        <v>2</v>
      </c>
      <c r="D34" s="36">
        <v>3</v>
      </c>
      <c r="E34" s="36">
        <v>4</v>
      </c>
      <c r="F34" s="36">
        <v>5</v>
      </c>
      <c r="G34" s="36">
        <v>6</v>
      </c>
      <c r="H34" s="37" t="s">
        <v>173</v>
      </c>
      <c r="I34" s="38" t="s">
        <v>174</v>
      </c>
      <c r="J34" s="36">
        <v>1</v>
      </c>
      <c r="K34" s="36">
        <v>2</v>
      </c>
      <c r="L34" s="36">
        <v>3</v>
      </c>
      <c r="M34" s="39" t="s">
        <v>173</v>
      </c>
      <c r="N34" s="39">
        <v>1</v>
      </c>
      <c r="O34" s="36">
        <v>2</v>
      </c>
      <c r="P34" s="40" t="s">
        <v>173</v>
      </c>
    </row>
    <row r="35" spans="1:16" ht="15.75" customHeight="1">
      <c r="A35" s="25" t="s">
        <v>175</v>
      </c>
      <c r="B35" s="157">
        <f>+OLD...Tabs!D41</f>
        <v>4.2567826543688652</v>
      </c>
      <c r="C35" s="157">
        <f>+OLD...Tabs!D72</f>
        <v>1.2361775973078521</v>
      </c>
      <c r="D35" s="157">
        <f>+OLD...Tabs!D103</f>
        <v>16.37017409084908</v>
      </c>
      <c r="E35" s="157">
        <f>+OLD...Tabs!D134</f>
        <v>9.1194598290907933</v>
      </c>
      <c r="F35" s="157">
        <f>+OLD...Tabs!D164</f>
        <v>3.0759003129408331</v>
      </c>
      <c r="G35" s="157">
        <f>+OLD...Tabs!D195</f>
        <v>70.818477407781145</v>
      </c>
      <c r="H35" s="169">
        <f>+OLD...Tabs!D9</f>
        <v>9.9991704153273595</v>
      </c>
      <c r="I35" s="620">
        <f>+OLD...Tabs!D257</f>
        <v>0</v>
      </c>
      <c r="J35" s="157">
        <f>+OLD...Tabs!D288</f>
        <v>18.872739607429185</v>
      </c>
      <c r="K35" s="157">
        <f>+OLD...Tabs!D319</f>
        <v>13.555131643090801</v>
      </c>
      <c r="L35" s="157">
        <f>+OLD...Tabs!D349</f>
        <v>22.149200710479576</v>
      </c>
      <c r="M35" s="162">
        <f>+OLD...Tabs!D226</f>
        <v>16.519660221032684</v>
      </c>
      <c r="N35" s="165">
        <f>+OLD...Tabs!D410</f>
        <v>7.5225777902930586</v>
      </c>
      <c r="O35" s="167">
        <f>+OLD...Tabs!D440</f>
        <v>8.1376441671393458</v>
      </c>
      <c r="P35" s="170">
        <f>+OLD...Tabs!D380</f>
        <v>7.9006911942472806</v>
      </c>
    </row>
    <row r="36" spans="1:16" ht="15.75" customHeight="1">
      <c r="A36" s="25" t="s">
        <v>176</v>
      </c>
      <c r="B36" s="157">
        <f>+OLD...Tabs!D42</f>
        <v>3.192179382353749</v>
      </c>
      <c r="C36" s="157">
        <f>+OLD...Tabs!D73</f>
        <v>0</v>
      </c>
      <c r="D36" s="157">
        <f>+OLD...Tabs!D104</f>
        <v>15.21400738231071</v>
      </c>
      <c r="E36" s="157">
        <f>+OLD...Tabs!D135</f>
        <v>11.898740770643158</v>
      </c>
      <c r="F36" s="157">
        <f>+OLD...Tabs!D165</f>
        <v>14.01674529304263</v>
      </c>
      <c r="G36" s="157">
        <f>+OLD...Tabs!D196</f>
        <v>10.586377083839013</v>
      </c>
      <c r="H36" s="170">
        <f>+OLD...Tabs!D10</f>
        <v>11.0130633920615</v>
      </c>
      <c r="I36" s="162">
        <f>+OLD...Tabs!D258</f>
        <v>0</v>
      </c>
      <c r="J36" s="157">
        <f>+OLD...Tabs!D289</f>
        <v>27.082359540057958</v>
      </c>
      <c r="K36" s="157">
        <f>+OLD...Tabs!D320</f>
        <v>16.338264545002488</v>
      </c>
      <c r="L36" s="157">
        <f>+OLD...Tabs!D350</f>
        <v>17.633491226181505</v>
      </c>
      <c r="M36" s="162">
        <f>+OLD...Tabs!D227</f>
        <v>20.361411864848868</v>
      </c>
      <c r="N36" s="165">
        <f>+OLD...Tabs!D411</f>
        <v>0</v>
      </c>
      <c r="O36" s="167">
        <f>+OLD...Tabs!D441</f>
        <v>0</v>
      </c>
      <c r="P36" s="170">
        <f>+OLD...Tabs!D381</f>
        <v>0</v>
      </c>
    </row>
    <row r="37" spans="1:16" ht="15.75" customHeight="1">
      <c r="A37" s="25" t="s">
        <v>177</v>
      </c>
      <c r="B37" s="157">
        <f>+OLD...Tabs!D43</f>
        <v>3.5013328970541533</v>
      </c>
      <c r="C37" s="157">
        <f>+OLD...Tabs!D74</f>
        <v>0</v>
      </c>
      <c r="D37" s="157">
        <f>+OLD...Tabs!D105</f>
        <v>0</v>
      </c>
      <c r="E37" s="157">
        <f>+OLD...Tabs!D136</f>
        <v>9.102200646635504E-2</v>
      </c>
      <c r="F37" s="157">
        <f>+OLD...Tabs!D166</f>
        <v>0</v>
      </c>
      <c r="G37" s="157">
        <f>+OLD...Tabs!D197</f>
        <v>0</v>
      </c>
      <c r="H37" s="170">
        <f>+OLD...Tabs!D11</f>
        <v>2.9258544608600769</v>
      </c>
      <c r="I37" s="162">
        <f>+OLD...Tabs!D259</f>
        <v>0</v>
      </c>
      <c r="J37" s="157">
        <f>+OLD...Tabs!D290</f>
        <v>10.329460937980208</v>
      </c>
      <c r="K37" s="157">
        <f>+OLD...Tabs!D321</f>
        <v>16.936656914202278</v>
      </c>
      <c r="L37" s="157">
        <f>+OLD...Tabs!D351</f>
        <v>0</v>
      </c>
      <c r="M37" s="162">
        <f>+OLD...Tabs!D228</f>
        <v>13.807318216355798</v>
      </c>
      <c r="N37" s="165">
        <f>+OLD...Tabs!D412</f>
        <v>0</v>
      </c>
      <c r="O37" s="167">
        <f>+OLD...Tabs!D442</f>
        <v>0</v>
      </c>
      <c r="P37" s="170">
        <f>+OLD...Tabs!D382</f>
        <v>0</v>
      </c>
    </row>
    <row r="38" spans="1:16" ht="15.75" customHeight="1">
      <c r="A38" s="25" t="s">
        <v>193</v>
      </c>
      <c r="B38" s="157">
        <f>+OLD...Tabs!D44</f>
        <v>19.425376177945413</v>
      </c>
      <c r="C38" s="157">
        <f>+OLD...Tabs!D75</f>
        <v>6.4957429831560667</v>
      </c>
      <c r="D38" s="157">
        <f>+OLD...Tabs!D106</f>
        <v>13.716660566737593</v>
      </c>
      <c r="E38" s="157">
        <f>+OLD...Tabs!D137</f>
        <v>19.267696588461554</v>
      </c>
      <c r="F38" s="157">
        <f>+OLD...Tabs!D167</f>
        <v>0</v>
      </c>
      <c r="G38" s="157">
        <f>+OLD...Tabs!D198</f>
        <v>0</v>
      </c>
      <c r="H38" s="170">
        <f>+OLD...Tabs!D12</f>
        <v>17.502470263538797</v>
      </c>
      <c r="I38" s="162">
        <f>+OLD...Tabs!D260</f>
        <v>22.849751558144149</v>
      </c>
      <c r="J38" s="157">
        <f>+OLD...Tabs!D291</f>
        <v>21.295490905983229</v>
      </c>
      <c r="K38" s="157">
        <f>+OLD...Tabs!D322</f>
        <v>28.158899923605805</v>
      </c>
      <c r="L38" s="157">
        <f>+OLD...Tabs!D352</f>
        <v>28.344228530491627</v>
      </c>
      <c r="M38" s="162">
        <f>+OLD...Tabs!D229</f>
        <v>22.293967731079668</v>
      </c>
      <c r="N38" s="165">
        <f>+OLD...Tabs!D413</f>
        <v>0</v>
      </c>
      <c r="O38" s="167">
        <f>+OLD...Tabs!D443</f>
        <v>0</v>
      </c>
      <c r="P38" s="170">
        <f>+OLD...Tabs!D383</f>
        <v>0</v>
      </c>
    </row>
    <row r="39" spans="1:16" ht="15.75" customHeight="1">
      <c r="B39" s="25"/>
      <c r="C39" s="25"/>
      <c r="D39" s="25"/>
      <c r="E39" s="25"/>
      <c r="F39" s="25"/>
      <c r="G39" s="25"/>
      <c r="H39" s="172"/>
      <c r="I39" s="175"/>
      <c r="J39" s="25"/>
      <c r="K39" s="25"/>
      <c r="L39" s="25"/>
      <c r="M39" s="175"/>
      <c r="N39" s="175"/>
      <c r="O39" s="25"/>
      <c r="P39" s="172"/>
    </row>
    <row r="40" spans="1:16" ht="15.75" customHeight="1">
      <c r="A40" s="25" t="s">
        <v>179</v>
      </c>
      <c r="B40" s="157">
        <f>+OLD...Tabs!D46</f>
        <v>0</v>
      </c>
      <c r="C40" s="157">
        <f>+OLD...Tabs!D77</f>
        <v>0</v>
      </c>
      <c r="D40" s="157">
        <f>+OLD...Tabs!D108</f>
        <v>0</v>
      </c>
      <c r="E40" s="157">
        <f>+OLD...Tabs!D139</f>
        <v>0</v>
      </c>
      <c r="F40" s="157">
        <f>+OLD...Tabs!D169</f>
        <v>0</v>
      </c>
      <c r="G40" s="157">
        <f>+OLD...Tabs!D200</f>
        <v>0</v>
      </c>
      <c r="H40" s="170">
        <f>+OLD...Tabs!D14</f>
        <v>0</v>
      </c>
      <c r="I40" s="162">
        <f>+OLD...Tabs!D262</f>
        <v>0</v>
      </c>
      <c r="J40" s="157">
        <f>+OLD...Tabs!D293</f>
        <v>0</v>
      </c>
      <c r="K40" s="157">
        <f>+OLD...Tabs!D324</f>
        <v>0</v>
      </c>
      <c r="L40" s="157">
        <f>+OLD...Tabs!D354</f>
        <v>0</v>
      </c>
      <c r="M40" s="162">
        <f>+OLD...Tabs!D231</f>
        <v>0</v>
      </c>
      <c r="N40" s="165">
        <f>+OLD...Tabs!D415</f>
        <v>19.975938808396311</v>
      </c>
      <c r="O40" s="167">
        <f>+OLD...Tabs!D445</f>
        <v>0</v>
      </c>
      <c r="P40" s="170">
        <f>+OLD...Tabs!D385</f>
        <v>19.975938808396311</v>
      </c>
    </row>
    <row r="41" spans="1:16" ht="15.75" customHeight="1">
      <c r="A41" s="25" t="s">
        <v>180</v>
      </c>
      <c r="B41" s="157">
        <f>+OLD...Tabs!D47</f>
        <v>4.2990636190737295</v>
      </c>
      <c r="C41" s="157">
        <f>+OLD...Tabs!D78</f>
        <v>0</v>
      </c>
      <c r="D41" s="157">
        <f>+OLD...Tabs!D109</f>
        <v>14.441067710462157</v>
      </c>
      <c r="E41" s="157">
        <f>+OLD...Tabs!D140</f>
        <v>10.124012057355264</v>
      </c>
      <c r="F41" s="157">
        <f>+OLD...Tabs!D170</f>
        <v>0</v>
      </c>
      <c r="G41" s="157">
        <f>+OLD...Tabs!D201</f>
        <v>0</v>
      </c>
      <c r="H41" s="170">
        <f>+OLD...Tabs!D15</f>
        <v>10.103562376767982</v>
      </c>
      <c r="I41" s="162">
        <f>+OLD...Tabs!D263</f>
        <v>0</v>
      </c>
      <c r="J41" s="157">
        <f>+OLD...Tabs!D294</f>
        <v>21.496940500185289</v>
      </c>
      <c r="K41" s="157">
        <f>+OLD...Tabs!D325</f>
        <v>28.635708645874452</v>
      </c>
      <c r="L41" s="157">
        <f>+OLD...Tabs!D355</f>
        <v>31.445111865587187</v>
      </c>
      <c r="M41" s="162">
        <f>+OLD...Tabs!D232</f>
        <v>26.478752605924708</v>
      </c>
      <c r="N41" s="165">
        <f>+OLD...Tabs!D416</f>
        <v>7.540735677982739</v>
      </c>
      <c r="O41" s="167">
        <f>+OLD...Tabs!D446</f>
        <v>0</v>
      </c>
      <c r="P41" s="170">
        <f>+OLD...Tabs!D386</f>
        <v>7.540735677982739</v>
      </c>
    </row>
    <row r="42" spans="1:16" ht="15.75" customHeight="1">
      <c r="A42" s="25" t="s">
        <v>181</v>
      </c>
      <c r="B42" s="157">
        <f>+OLD...Tabs!D48</f>
        <v>0</v>
      </c>
      <c r="C42" s="157">
        <f>+OLD...Tabs!D79</f>
        <v>0</v>
      </c>
      <c r="D42" s="157">
        <f>+OLD...Tabs!D110</f>
        <v>0</v>
      </c>
      <c r="E42" s="157">
        <f>+OLD...Tabs!D141</f>
        <v>0</v>
      </c>
      <c r="F42" s="157">
        <f>+OLD...Tabs!D171</f>
        <v>0</v>
      </c>
      <c r="G42" s="157">
        <f>+OLD...Tabs!D202</f>
        <v>0</v>
      </c>
      <c r="H42" s="170">
        <f>+OLD...Tabs!D16</f>
        <v>0</v>
      </c>
      <c r="I42" s="162">
        <f>+OLD...Tabs!D264</f>
        <v>0</v>
      </c>
      <c r="J42" s="157">
        <f>+OLD...Tabs!D295</f>
        <v>0</v>
      </c>
      <c r="K42" s="157">
        <f>+OLD...Tabs!D326</f>
        <v>0</v>
      </c>
      <c r="L42" s="157">
        <f>+OLD...Tabs!D356</f>
        <v>0</v>
      </c>
      <c r="M42" s="162">
        <f>+OLD...Tabs!D233</f>
        <v>0</v>
      </c>
      <c r="N42" s="165">
        <f>+OLD...Tabs!D417</f>
        <v>0</v>
      </c>
      <c r="O42" s="167">
        <f>+OLD...Tabs!D447</f>
        <v>0</v>
      </c>
      <c r="P42" s="170">
        <f>+OLD...Tabs!D387</f>
        <v>0</v>
      </c>
    </row>
    <row r="43" spans="1:16" ht="15.75" customHeight="1">
      <c r="A43" s="25" t="s">
        <v>194</v>
      </c>
      <c r="B43" s="157">
        <f>+OLD...Tabs!D49</f>
        <v>1.3843532052581398</v>
      </c>
      <c r="C43" s="157">
        <f>+OLD...Tabs!D80</f>
        <v>4.8509404938719216</v>
      </c>
      <c r="D43" s="157">
        <f>+OLD...Tabs!D111</f>
        <v>4.958206330771409</v>
      </c>
      <c r="E43" s="157">
        <f>+OLD...Tabs!D142</f>
        <v>7.8987812241078732</v>
      </c>
      <c r="F43" s="157">
        <f>+OLD...Tabs!D172</f>
        <v>0</v>
      </c>
      <c r="G43" s="157">
        <f>+OLD...Tabs!D203</f>
        <v>0</v>
      </c>
      <c r="H43" s="170">
        <f>+OLD...Tabs!D17</f>
        <v>16.013959238113291</v>
      </c>
      <c r="I43" s="162">
        <f>+OLD...Tabs!D265</f>
        <v>0</v>
      </c>
      <c r="J43" s="157">
        <f>+OLD...Tabs!D296</f>
        <v>12.311961626658386</v>
      </c>
      <c r="K43" s="157">
        <f>+OLD...Tabs!D327</f>
        <v>13.942031112113728</v>
      </c>
      <c r="L43" s="157">
        <f>+OLD...Tabs!D357</f>
        <v>14.009852256579121</v>
      </c>
      <c r="M43" s="162">
        <f>+OLD...Tabs!D234</f>
        <v>12.785771814067655</v>
      </c>
      <c r="N43" s="165">
        <f>+OLD...Tabs!D418</f>
        <v>0</v>
      </c>
      <c r="O43" s="167">
        <f>+OLD...Tabs!D448</f>
        <v>0</v>
      </c>
      <c r="P43" s="170">
        <f>+OLD...Tabs!D388</f>
        <v>0</v>
      </c>
    </row>
    <row r="44" spans="1:16" ht="15.75" customHeight="1">
      <c r="B44" s="25"/>
      <c r="C44" s="25"/>
      <c r="D44" s="25"/>
      <c r="E44" s="25"/>
      <c r="F44" s="25"/>
      <c r="G44" s="25"/>
      <c r="H44" s="172"/>
      <c r="I44" s="175"/>
      <c r="J44" s="25"/>
      <c r="K44" s="25"/>
      <c r="L44" s="25"/>
      <c r="M44" s="175"/>
      <c r="N44" s="175"/>
      <c r="O44" s="25"/>
      <c r="P44" s="172"/>
    </row>
    <row r="45" spans="1:16" ht="15.75" customHeight="1">
      <c r="A45" s="25" t="s">
        <v>195</v>
      </c>
      <c r="B45" s="157">
        <f>+OLD...Tabs!D51</f>
        <v>7.3815671048568827</v>
      </c>
      <c r="C45" s="157">
        <f>+OLD...Tabs!D82</f>
        <v>3.5898755185284319</v>
      </c>
      <c r="D45" s="157">
        <f>+OLD...Tabs!D113</f>
        <v>0</v>
      </c>
      <c r="E45" s="157">
        <f>+OLD...Tabs!D144</f>
        <v>13.002837699361518</v>
      </c>
      <c r="F45" s="157">
        <f>+OLD...Tabs!D174</f>
        <v>30.415397308961666</v>
      </c>
      <c r="G45" s="157">
        <f>+OLD...Tabs!D205</f>
        <v>0</v>
      </c>
      <c r="H45" s="170">
        <f>+OLD...Tabs!D19</f>
        <v>7.71698428696123</v>
      </c>
      <c r="I45" s="162">
        <f>+OLD...Tabs!D267</f>
        <v>0</v>
      </c>
      <c r="J45" s="174">
        <f>+OLD...Tabs!D298</f>
        <v>20.581441116452542</v>
      </c>
      <c r="K45" s="174">
        <f>+OLD...Tabs!D329</f>
        <v>16.412589213834714</v>
      </c>
      <c r="L45" s="174">
        <f>+OLD...Tabs!D359</f>
        <v>9.7472834006411588</v>
      </c>
      <c r="M45" s="162">
        <f>+OLD...Tabs!D236</f>
        <v>18.01841955595134</v>
      </c>
      <c r="N45" s="165">
        <f>+OLD...Tabs!D420</f>
        <v>0</v>
      </c>
      <c r="O45" s="167">
        <f>+OLD...Tabs!D450</f>
        <v>0</v>
      </c>
      <c r="P45" s="170">
        <f>+OLD...Tabs!D390</f>
        <v>0</v>
      </c>
    </row>
    <row r="46" spans="1:16" ht="15.75" customHeight="1">
      <c r="A46" s="25" t="s">
        <v>184</v>
      </c>
      <c r="B46" s="157">
        <f>+OLD...Tabs!D52</f>
        <v>9.0695687346083869</v>
      </c>
      <c r="C46" s="157">
        <f>+OLD...Tabs!D83</f>
        <v>3.6532150325278812</v>
      </c>
      <c r="D46" s="157">
        <f>+OLD...Tabs!D114</f>
        <v>7.9868738118014608</v>
      </c>
      <c r="E46" s="157">
        <f>+OLD...Tabs!D145</f>
        <v>15.240041704354793</v>
      </c>
      <c r="F46" s="157">
        <f>+OLD...Tabs!D175</f>
        <v>15.11952818741833</v>
      </c>
      <c r="G46" s="157">
        <f>+OLD...Tabs!D206</f>
        <v>7.4295364316893489</v>
      </c>
      <c r="H46" s="170">
        <f>+OLD...Tabs!D20</f>
        <v>8.5481474096067345</v>
      </c>
      <c r="I46" s="162">
        <f>+OLD...Tabs!D268</f>
        <v>0</v>
      </c>
      <c r="J46" s="157">
        <f>+OLD...Tabs!D299</f>
        <v>21.261524308211769</v>
      </c>
      <c r="K46" s="157">
        <f>+OLD...Tabs!D330</f>
        <v>23.406091747395365</v>
      </c>
      <c r="L46" s="157">
        <f>+OLD...Tabs!D360</f>
        <v>24.585936176221406</v>
      </c>
      <c r="M46" s="162">
        <f>+OLD...Tabs!D237</f>
        <v>22.641600309426099</v>
      </c>
      <c r="N46" s="165">
        <f>+OLD...Tabs!D421</f>
        <v>0</v>
      </c>
      <c r="O46" s="167">
        <f>+OLD...Tabs!D451</f>
        <v>0</v>
      </c>
      <c r="P46" s="170">
        <f>+OLD...Tabs!D391</f>
        <v>0</v>
      </c>
    </row>
    <row r="47" spans="1:16" ht="15.75" customHeight="1">
      <c r="A47" s="25" t="s">
        <v>185</v>
      </c>
      <c r="B47" s="157">
        <f>+OLD...Tabs!D53</f>
        <v>9.6493440251202642</v>
      </c>
      <c r="C47" s="157">
        <f>+OLD...Tabs!D84</f>
        <v>0</v>
      </c>
      <c r="D47" s="157">
        <f>+OLD...Tabs!D115</f>
        <v>8.1245158554068215</v>
      </c>
      <c r="E47" s="157">
        <f>+OLD...Tabs!D146</f>
        <v>0</v>
      </c>
      <c r="F47" s="157">
        <f>+OLD...Tabs!D176</f>
        <v>16.427418030543546</v>
      </c>
      <c r="G47" s="157">
        <f>+OLD...Tabs!D207</f>
        <v>20.99854982390719</v>
      </c>
      <c r="H47" s="170">
        <f>+OLD...Tabs!D21</f>
        <v>12.355133322171392</v>
      </c>
      <c r="I47" s="162">
        <f>+OLD...Tabs!D269</f>
        <v>21.594392829561677</v>
      </c>
      <c r="J47" s="157">
        <f>+OLD...Tabs!D300</f>
        <v>17.76426596742434</v>
      </c>
      <c r="K47" s="157">
        <f>+OLD...Tabs!D331</f>
        <v>21.782336628031004</v>
      </c>
      <c r="L47" s="157">
        <f>+OLD...Tabs!D361</f>
        <v>31.44052586709741</v>
      </c>
      <c r="M47" s="162">
        <f>+OLD...Tabs!D238</f>
        <v>22.386151460877741</v>
      </c>
      <c r="N47" s="165">
        <f>+OLD...Tabs!D422</f>
        <v>0</v>
      </c>
      <c r="O47" s="167">
        <f>+OLD...Tabs!D452</f>
        <v>0</v>
      </c>
      <c r="P47" s="170">
        <f>+OLD...Tabs!D392</f>
        <v>0</v>
      </c>
    </row>
    <row r="48" spans="1:16" s="44" customFormat="1" ht="16.5" customHeight="1">
      <c r="A48" s="25" t="s">
        <v>186</v>
      </c>
      <c r="B48" s="157">
        <f>+OLD...Tabs!D54</f>
        <v>3.8844728723608042</v>
      </c>
      <c r="C48" s="157">
        <f>+OLD...Tabs!D85</f>
        <v>0</v>
      </c>
      <c r="D48" s="157">
        <f>+OLD...Tabs!D116</f>
        <v>7.1171211245051366E-2</v>
      </c>
      <c r="E48" s="157">
        <f>+OLD...Tabs!D147</f>
        <v>0.25501886440914806</v>
      </c>
      <c r="F48" s="157">
        <f>+OLD...Tabs!D177</f>
        <v>2.2349120736379162</v>
      </c>
      <c r="G48" s="157">
        <f>+OLD...Tabs!D208</f>
        <v>5.8816942221312845</v>
      </c>
      <c r="H48" s="170">
        <f>+OLD...Tabs!D22</f>
        <v>3.0591063797486018</v>
      </c>
      <c r="I48" s="162">
        <f>+OLD...Tabs!D270</f>
        <v>0</v>
      </c>
      <c r="J48" s="157">
        <f>+OLD...Tabs!D301</f>
        <v>20.205002494249683</v>
      </c>
      <c r="K48" s="157">
        <f>+OLD...Tabs!D332</f>
        <v>22.631016069412091</v>
      </c>
      <c r="L48" s="157">
        <f>+OLD...Tabs!D362</f>
        <v>12.843853876941864</v>
      </c>
      <c r="M48" s="162">
        <f>+OLD...Tabs!D239</f>
        <v>20.29469840159857</v>
      </c>
      <c r="N48" s="165">
        <f>+OLD...Tabs!D423</f>
        <v>0</v>
      </c>
      <c r="O48" s="167">
        <f>+OLD...Tabs!D453</f>
        <v>0</v>
      </c>
      <c r="P48" s="170">
        <f>+OLD...Tabs!D393</f>
        <v>0</v>
      </c>
    </row>
    <row r="49" spans="1:16" s="44" customFormat="1" ht="14.25" customHeight="1">
      <c r="H49" s="173"/>
      <c r="I49" s="173"/>
      <c r="M49" s="173"/>
      <c r="N49" s="173"/>
      <c r="P49" s="173"/>
    </row>
    <row r="50" spans="1:16" s="44" customFormat="1" ht="15" customHeight="1">
      <c r="A50" s="25" t="s">
        <v>187</v>
      </c>
      <c r="B50" s="157">
        <f>+OLD...Tabs!D56</f>
        <v>14.029418297090476</v>
      </c>
      <c r="C50" s="157">
        <f>+OLD...Tabs!D87</f>
        <v>7.3346563747204065</v>
      </c>
      <c r="D50" s="157">
        <f>+OLD...Tabs!D118</f>
        <v>13.681985220295989</v>
      </c>
      <c r="E50" s="157">
        <f>+OLD...Tabs!D149</f>
        <v>0</v>
      </c>
      <c r="F50" s="157">
        <f>+OLD...Tabs!D179</f>
        <v>6.1166129381163179</v>
      </c>
      <c r="G50" s="157">
        <f>+OLD...Tabs!D210</f>
        <v>0</v>
      </c>
      <c r="H50" s="170">
        <f>+OLD...Tabs!D24</f>
        <v>12.94042925251992</v>
      </c>
      <c r="I50" s="162">
        <f>+OLD...Tabs!D272</f>
        <v>0</v>
      </c>
      <c r="J50" s="157">
        <f>+OLD...Tabs!D303</f>
        <v>21.934589191817516</v>
      </c>
      <c r="K50" s="157">
        <f>+OLD...Tabs!D334</f>
        <v>24.382412381003032</v>
      </c>
      <c r="L50" s="157">
        <f>+OLD...Tabs!D364</f>
        <v>0</v>
      </c>
      <c r="M50" s="162">
        <f>+OLD...Tabs!D241</f>
        <v>23.046802435194635</v>
      </c>
      <c r="N50" s="165">
        <f>+OLD...Tabs!D425</f>
        <v>0</v>
      </c>
      <c r="O50" s="167">
        <f>+OLD...Tabs!D455</f>
        <v>0</v>
      </c>
      <c r="P50" s="170">
        <f>+OLD...Tabs!D395</f>
        <v>0</v>
      </c>
    </row>
    <row r="51" spans="1:16" s="44" customFormat="1" ht="12.75">
      <c r="A51" s="25" t="s">
        <v>188</v>
      </c>
      <c r="B51" s="157">
        <f>+OLD...Tabs!D57</f>
        <v>7.2262879890512268</v>
      </c>
      <c r="C51" s="157">
        <f>+OLD...Tabs!D88</f>
        <v>6.9746858267284422</v>
      </c>
      <c r="D51" s="157">
        <f>+OLD...Tabs!D119</f>
        <v>7.6768245484968451</v>
      </c>
      <c r="E51" s="157">
        <f>+OLD...Tabs!D150</f>
        <v>54.473520087313553</v>
      </c>
      <c r="F51" s="157">
        <f>+OLD...Tabs!D180</f>
        <v>17.473512343159353</v>
      </c>
      <c r="G51" s="157">
        <f>+OLD...Tabs!D211</f>
        <v>1.2125866494209899E-2</v>
      </c>
      <c r="H51" s="170">
        <f>+OLD...Tabs!D25</f>
        <v>7.9300281876666876</v>
      </c>
      <c r="I51" s="162">
        <f>+OLD...Tabs!D273</f>
        <v>17.221891015444335</v>
      </c>
      <c r="J51" s="157">
        <f>+OLD...Tabs!D304</f>
        <v>17.078306574329851</v>
      </c>
      <c r="K51" s="157">
        <f>+OLD...Tabs!D335</f>
        <v>19.295800319066803</v>
      </c>
      <c r="L51" s="157">
        <f>+OLD...Tabs!D365</f>
        <v>23.674013137103319</v>
      </c>
      <c r="M51" s="162">
        <f>+OLD...Tabs!D242</f>
        <v>17.635748938910865</v>
      </c>
      <c r="N51" s="165">
        <f>+OLD...Tabs!D426</f>
        <v>0</v>
      </c>
      <c r="O51" s="167">
        <f>+OLD...Tabs!D456</f>
        <v>0</v>
      </c>
      <c r="P51" s="170">
        <f>+OLD...Tabs!D396</f>
        <v>0</v>
      </c>
    </row>
    <row r="52" spans="1:16" s="44" customFormat="1" ht="16.5" customHeight="1">
      <c r="A52" s="25" t="s">
        <v>189</v>
      </c>
      <c r="B52" s="157">
        <f>+OLD...Tabs!D58</f>
        <v>3.8716703275752256</v>
      </c>
      <c r="C52" s="157">
        <f>+OLD...Tabs!D89</f>
        <v>1.9051136037094689</v>
      </c>
      <c r="D52" s="157">
        <f>+OLD...Tabs!D120</f>
        <v>2.809798270893372</v>
      </c>
      <c r="E52" s="157">
        <f>+OLD...Tabs!D151</f>
        <v>2.0145673216693298</v>
      </c>
      <c r="F52" s="157">
        <f>+OLD...Tabs!D181</f>
        <v>2.1689372472316069</v>
      </c>
      <c r="G52" s="157">
        <f>+OLD...Tabs!D212</f>
        <v>3.984983320280211</v>
      </c>
      <c r="H52" s="170">
        <f>+OLD...Tabs!D26</f>
        <v>3.0560266649633219</v>
      </c>
      <c r="I52" s="162">
        <f>+OLD...Tabs!D274</f>
        <v>0</v>
      </c>
      <c r="J52" s="157">
        <f>+OLD...Tabs!D305</f>
        <v>22.563775171414154</v>
      </c>
      <c r="K52" s="157">
        <f>+OLD...Tabs!D336</f>
        <v>23.913954553910138</v>
      </c>
      <c r="L52" s="157">
        <f>+OLD...Tabs!D366</f>
        <v>29.925133397742051</v>
      </c>
      <c r="M52" s="162">
        <f>+OLD...Tabs!D243</f>
        <v>23.626908433774432</v>
      </c>
      <c r="N52" s="165">
        <f>+OLD...Tabs!D427</f>
        <v>0</v>
      </c>
      <c r="O52" s="167">
        <f>+OLD...Tabs!D457</f>
        <v>0</v>
      </c>
      <c r="P52" s="170">
        <f>+OLD...Tabs!D397</f>
        <v>0</v>
      </c>
    </row>
    <row r="53" spans="1:16" s="25" customFormat="1">
      <c r="A53" s="25" t="s">
        <v>190</v>
      </c>
      <c r="B53" s="157">
        <f>+OLD...Tabs!D59</f>
        <v>6.5356241178152876</v>
      </c>
      <c r="C53" s="157">
        <f>+OLD...Tabs!D90</f>
        <v>0</v>
      </c>
      <c r="D53" s="157">
        <f>+OLD...Tabs!D121</f>
        <v>13.00097751710655</v>
      </c>
      <c r="E53" s="157">
        <f>+OLD...Tabs!D152</f>
        <v>0</v>
      </c>
      <c r="F53" s="157">
        <f>+OLD...Tabs!D182</f>
        <v>6.8915870806738013</v>
      </c>
      <c r="G53" s="157">
        <f>+OLD...Tabs!D213</f>
        <v>10.933572318520623</v>
      </c>
      <c r="H53" s="170">
        <f>+OLD...Tabs!D27</f>
        <v>8.7978387934981459</v>
      </c>
      <c r="I53" s="162">
        <f>+OLD...Tabs!D275</f>
        <v>18.137938861480329</v>
      </c>
      <c r="J53" s="157">
        <f>+OLD...Tabs!D306</f>
        <v>0</v>
      </c>
      <c r="K53" s="157">
        <f>+OLD...Tabs!D337</f>
        <v>15.767093626901103</v>
      </c>
      <c r="L53" s="157">
        <f>+OLD...Tabs!D367</f>
        <v>17.429865111273443</v>
      </c>
      <c r="M53" s="176">
        <f>+OLD...Tabs!D244</f>
        <v>17.393266031244714</v>
      </c>
      <c r="N53" s="165">
        <f>+OLD...Tabs!D428</f>
        <v>0</v>
      </c>
      <c r="O53" s="167">
        <f>+OLD...Tabs!D458</f>
        <v>0</v>
      </c>
      <c r="P53" s="170">
        <f>+OLD...Tabs!D398</f>
        <v>0</v>
      </c>
    </row>
    <row r="54" spans="1:16" ht="33.75" customHeight="1">
      <c r="A54" s="651" t="s">
        <v>196</v>
      </c>
      <c r="B54" s="652"/>
      <c r="C54" s="652"/>
      <c r="D54" s="652"/>
      <c r="E54" s="652"/>
      <c r="F54" s="652"/>
      <c r="G54" s="652"/>
      <c r="H54" s="652"/>
      <c r="I54" s="652"/>
      <c r="J54" s="652"/>
      <c r="K54" s="652"/>
      <c r="L54" s="652"/>
      <c r="M54" s="652"/>
      <c r="N54" s="652"/>
      <c r="O54" s="652"/>
      <c r="P54" s="652"/>
    </row>
    <row r="55" spans="1:16">
      <c r="A55" s="43" t="s">
        <v>197</v>
      </c>
      <c r="B55" s="44"/>
      <c r="C55" s="44"/>
      <c r="D55" s="44"/>
      <c r="E55" s="44"/>
      <c r="F55" s="44"/>
      <c r="G55" s="44"/>
      <c r="H55" s="45"/>
      <c r="I55" s="44"/>
      <c r="J55" s="44"/>
      <c r="K55" s="44"/>
      <c r="L55" s="44"/>
      <c r="M55" s="46"/>
      <c r="N55" s="44"/>
      <c r="O55" s="44"/>
      <c r="P55" s="45"/>
    </row>
    <row r="56" spans="1:16" ht="9.75" customHeight="1">
      <c r="A56" s="55"/>
      <c r="B56" s="56"/>
      <c r="C56" s="56"/>
      <c r="D56" s="56"/>
      <c r="E56" s="56"/>
      <c r="F56" s="56"/>
      <c r="G56" s="56"/>
      <c r="H56" s="57"/>
      <c r="I56" s="606"/>
      <c r="J56" s="56"/>
      <c r="K56" s="56"/>
      <c r="L56" s="56"/>
      <c r="M56" s="56"/>
      <c r="N56" s="56"/>
      <c r="O56" s="56"/>
      <c r="P56" s="57"/>
    </row>
    <row r="57" spans="1:16">
      <c r="A57" s="44"/>
      <c r="B57" s="44"/>
      <c r="C57" s="44"/>
      <c r="D57" s="44"/>
      <c r="E57" s="44"/>
      <c r="F57" s="44"/>
      <c r="G57" s="44"/>
      <c r="H57" s="45"/>
      <c r="I57" s="44"/>
      <c r="J57" s="44"/>
      <c r="K57" s="44"/>
      <c r="L57" s="44"/>
      <c r="M57" s="48"/>
      <c r="N57" s="44"/>
      <c r="O57" s="44"/>
      <c r="P57" s="49" t="s">
        <v>900</v>
      </c>
    </row>
    <row r="58" spans="1:16" s="34" customFormat="1" ht="18">
      <c r="A58" s="16" t="s">
        <v>198</v>
      </c>
      <c r="B58" s="17"/>
      <c r="C58" s="17"/>
      <c r="D58" s="17"/>
      <c r="E58" s="17"/>
      <c r="F58" s="17"/>
      <c r="G58" s="18"/>
      <c r="H58" s="19"/>
      <c r="I58" s="218" t="s">
        <v>39</v>
      </c>
      <c r="J58" s="58"/>
      <c r="K58" s="58"/>
      <c r="L58" s="58"/>
      <c r="M58" s="59"/>
      <c r="N58"/>
      <c r="O58"/>
      <c r="P58" s="15"/>
    </row>
    <row r="59" spans="1:16" s="41" customFormat="1" ht="12.75">
      <c r="A59" s="22"/>
      <c r="B59" s="21"/>
      <c r="C59" s="21"/>
      <c r="D59" s="21"/>
      <c r="E59" s="21"/>
      <c r="F59" s="21"/>
      <c r="G59" s="21"/>
      <c r="H59" s="23"/>
      <c r="I59" s="60"/>
      <c r="J59" s="60"/>
      <c r="K59" s="60"/>
      <c r="L59" s="60"/>
      <c r="M59" s="61"/>
      <c r="N59" s="25"/>
      <c r="O59" s="25"/>
      <c r="P59" s="50"/>
    </row>
    <row r="60" spans="1:16" ht="15" customHeight="1">
      <c r="A60" s="26" t="s">
        <v>199</v>
      </c>
      <c r="B60" s="17"/>
      <c r="C60" s="17"/>
      <c r="D60" s="17"/>
      <c r="E60" s="17"/>
      <c r="F60" s="17"/>
      <c r="G60" s="18"/>
      <c r="H60" s="19"/>
      <c r="I60" s="218" t="s">
        <v>39</v>
      </c>
      <c r="J60" s="58"/>
      <c r="K60" s="58"/>
      <c r="L60" s="58"/>
      <c r="M60" s="59"/>
    </row>
    <row r="61" spans="1:16" ht="15.75" customHeight="1">
      <c r="A61" s="26" t="s">
        <v>200</v>
      </c>
      <c r="B61" s="21"/>
      <c r="C61" s="21"/>
      <c r="D61" s="21"/>
      <c r="E61" s="21"/>
      <c r="F61" s="21"/>
      <c r="G61" s="18"/>
      <c r="H61" s="19"/>
      <c r="I61" s="218" t="s">
        <v>39</v>
      </c>
      <c r="J61" s="58"/>
      <c r="K61" s="58"/>
      <c r="L61" s="58"/>
      <c r="M61" s="59"/>
    </row>
    <row r="62" spans="1:16" ht="15.75" customHeight="1">
      <c r="A62" s="26" t="s">
        <v>262</v>
      </c>
      <c r="B62" s="21"/>
      <c r="C62" s="21"/>
      <c r="D62" s="21"/>
      <c r="E62" s="21"/>
      <c r="F62" s="21"/>
      <c r="G62" s="18"/>
      <c r="H62" s="19"/>
      <c r="I62" s="218" t="s">
        <v>39</v>
      </c>
      <c r="J62" s="58"/>
      <c r="K62" s="58"/>
      <c r="L62" s="58"/>
      <c r="M62" s="59"/>
    </row>
    <row r="63" spans="1:16" ht="15.75" customHeight="1">
      <c r="A63" s="154"/>
      <c r="B63" s="155"/>
      <c r="C63" s="155"/>
      <c r="D63" s="155"/>
      <c r="E63" s="155"/>
      <c r="F63" s="155"/>
      <c r="G63" s="155"/>
      <c r="H63" s="156"/>
      <c r="I63" s="212"/>
      <c r="J63" s="14"/>
      <c r="K63" s="14"/>
      <c r="L63" s="14"/>
    </row>
    <row r="64" spans="1:16" ht="15.75" customHeight="1">
      <c r="A64" s="30"/>
      <c r="B64" s="36" t="s">
        <v>87</v>
      </c>
      <c r="C64" s="36"/>
      <c r="D64" s="36"/>
      <c r="E64" s="36"/>
      <c r="F64" s="36"/>
      <c r="G64" s="36"/>
      <c r="H64" s="36"/>
      <c r="I64" s="54"/>
      <c r="J64" s="54"/>
      <c r="K64" s="54"/>
      <c r="L64" s="54"/>
      <c r="M64" s="54"/>
      <c r="N64" s="34"/>
      <c r="O64" s="34"/>
      <c r="P64" s="62"/>
    </row>
    <row r="65" spans="1:16" ht="15.75" customHeight="1">
      <c r="A65" s="35"/>
      <c r="B65" s="36">
        <v>1</v>
      </c>
      <c r="C65" s="36">
        <v>2</v>
      </c>
      <c r="D65" s="36">
        <v>3</v>
      </c>
      <c r="E65" s="36">
        <v>4</v>
      </c>
      <c r="F65" s="36">
        <v>5</v>
      </c>
      <c r="G65" s="36">
        <v>6</v>
      </c>
      <c r="H65" s="40" t="s">
        <v>173</v>
      </c>
      <c r="I65" s="54"/>
      <c r="J65" s="54"/>
      <c r="K65" s="54"/>
      <c r="L65" s="54"/>
      <c r="M65" s="54"/>
      <c r="N65" s="41"/>
      <c r="O65" s="41"/>
      <c r="P65" s="63"/>
    </row>
    <row r="66" spans="1:16" ht="15.75" customHeight="1">
      <c r="A66" s="25" t="s">
        <v>175</v>
      </c>
      <c r="B66" s="177">
        <f>+OLD...Tabs!J41+OLD...Tabs!K41</f>
        <v>89.078382316086362</v>
      </c>
      <c r="C66" s="177">
        <f>+OLD...Tabs!J72+OLD...Tabs!K72</f>
        <v>83.691690962099131</v>
      </c>
      <c r="D66" s="177">
        <f>+OLD...Tabs!J103+OLD...Tabs!K103</f>
        <v>69.937029496709428</v>
      </c>
      <c r="E66" s="177">
        <f>+OLD...Tabs!J134+OLD...Tabs!K134</f>
        <v>77.70156119603493</v>
      </c>
      <c r="F66" s="177">
        <f>+OLD...Tabs!J164+OLD...Tabs!K164</f>
        <v>25.862336989377322</v>
      </c>
      <c r="G66" s="177">
        <f>+OLD...Tabs!J195+OLD...Tabs!K195</f>
        <v>0</v>
      </c>
      <c r="H66" s="169">
        <f>+OLD...Tabs!J9+OLD...Tabs!K9</f>
        <v>75.549782555042086</v>
      </c>
      <c r="I66" s="220"/>
      <c r="J66" s="64"/>
      <c r="K66" s="64"/>
      <c r="L66" s="64"/>
      <c r="M66" s="64"/>
    </row>
    <row r="67" spans="1:16" ht="15.75" customHeight="1">
      <c r="A67" s="25" t="s">
        <v>176</v>
      </c>
      <c r="B67" s="178">
        <f>+OLD...Tabs!J42+OLD...Tabs!K42</f>
        <v>80.065886960203215</v>
      </c>
      <c r="C67" s="178">
        <f>+OLD...Tabs!J73+OLD...Tabs!K73</f>
        <v>0</v>
      </c>
      <c r="D67" s="178">
        <f>+OLD...Tabs!J104+OLD...Tabs!K104</f>
        <v>57.736496810731026</v>
      </c>
      <c r="E67" s="178">
        <f>+OLD...Tabs!J135+OLD...Tabs!K135</f>
        <v>63.306309481847023</v>
      </c>
      <c r="F67" s="178">
        <f>+OLD...Tabs!J165+OLD...Tabs!K165</f>
        <v>50.366653801620998</v>
      </c>
      <c r="G67" s="178">
        <f>+OLD...Tabs!J196+OLD...Tabs!K196</f>
        <v>80.44090056285178</v>
      </c>
      <c r="H67" s="170">
        <f>+OLD...Tabs!J10+OLD...Tabs!K10</f>
        <v>64.880331004213744</v>
      </c>
      <c r="I67" s="220"/>
      <c r="J67" s="64"/>
      <c r="K67" s="64"/>
      <c r="L67" s="64"/>
      <c r="M67" s="64"/>
    </row>
    <row r="68" spans="1:16" ht="15.75" customHeight="1">
      <c r="A68" s="25" t="s">
        <v>177</v>
      </c>
      <c r="B68" s="178">
        <f>+OLD...Tabs!J43+OLD...Tabs!K43</f>
        <v>93.720496212537057</v>
      </c>
      <c r="C68" s="178">
        <f>+OLD...Tabs!J74+OLD...Tabs!K74</f>
        <v>0</v>
      </c>
      <c r="D68" s="178">
        <f>+OLD...Tabs!J105+OLD...Tabs!K105</f>
        <v>0</v>
      </c>
      <c r="E68" s="178">
        <f>+OLD...Tabs!J136+OLD...Tabs!K136</f>
        <v>99.695877449876107</v>
      </c>
      <c r="F68" s="178">
        <f>+OLD...Tabs!J166+OLD...Tabs!K166</f>
        <v>0</v>
      </c>
      <c r="G68" s="178">
        <f>+OLD...Tabs!J197+OLD...Tabs!K197</f>
        <v>0</v>
      </c>
      <c r="H68" s="170">
        <f>+OLD...Tabs!J11+OLD...Tabs!K11</f>
        <v>94.555499590757407</v>
      </c>
      <c r="I68" s="220"/>
      <c r="J68" s="64"/>
      <c r="K68" s="64"/>
      <c r="L68" s="64"/>
      <c r="M68" s="64"/>
    </row>
    <row r="69" spans="1:16" ht="15.75" customHeight="1">
      <c r="A69" s="25" t="s">
        <v>178</v>
      </c>
      <c r="B69" s="178">
        <f>+OLD...Tabs!J44+OLD...Tabs!K44</f>
        <v>77.656640561102236</v>
      </c>
      <c r="C69" s="178">
        <f>+OLD...Tabs!J75+OLD...Tabs!K75</f>
        <v>75.675274378549602</v>
      </c>
      <c r="D69" s="178">
        <f>+OLD...Tabs!J106+OLD...Tabs!K106</f>
        <v>77.030339104707551</v>
      </c>
      <c r="E69" s="178">
        <f>+OLD...Tabs!J137+OLD...Tabs!K137</f>
        <v>57.849489160229254</v>
      </c>
      <c r="F69" s="178">
        <f>+OLD...Tabs!J167+OLD...Tabs!K167</f>
        <v>0</v>
      </c>
      <c r="G69" s="178">
        <f>+OLD...Tabs!J198+OLD...Tabs!K198</f>
        <v>0</v>
      </c>
      <c r="H69" s="170">
        <f>+OLD...Tabs!J12+OLD...Tabs!K12</f>
        <v>77.096266538026583</v>
      </c>
      <c r="I69" s="220"/>
      <c r="J69" s="64"/>
      <c r="K69" s="64"/>
      <c r="L69" s="64"/>
      <c r="M69" s="64"/>
    </row>
    <row r="70" spans="1:16" ht="15.75" customHeight="1">
      <c r="A70" s="25"/>
      <c r="B70" s="178"/>
      <c r="C70" s="178"/>
      <c r="D70" s="178"/>
      <c r="E70" s="178"/>
      <c r="F70" s="178"/>
      <c r="G70" s="178"/>
      <c r="H70" s="170"/>
      <c r="I70" s="220"/>
      <c r="J70" s="64"/>
      <c r="K70" s="64"/>
      <c r="L70" s="64"/>
      <c r="M70" s="64"/>
    </row>
    <row r="71" spans="1:16" ht="15.75" customHeight="1">
      <c r="A71" s="25" t="s">
        <v>179</v>
      </c>
      <c r="B71" s="178">
        <f>+OLD...Tabs!J46+OLD...Tabs!K46</f>
        <v>0</v>
      </c>
      <c r="C71" s="178">
        <f>+OLD...Tabs!J77+OLD...Tabs!K77</f>
        <v>0</v>
      </c>
      <c r="D71" s="178">
        <f>+OLD...Tabs!J108+OLD...Tabs!K108</f>
        <v>0</v>
      </c>
      <c r="E71" s="178">
        <f>+OLD...Tabs!J139+OLD...Tabs!K139</f>
        <v>0</v>
      </c>
      <c r="F71" s="178">
        <f>+OLD...Tabs!J169+OLD...Tabs!K169</f>
        <v>0</v>
      </c>
      <c r="G71" s="178">
        <f>+OLD...Tabs!J200+OLD...Tabs!K200</f>
        <v>0</v>
      </c>
      <c r="H71" s="170">
        <f>+OLD...Tabs!J14+OLD...Tabs!K14</f>
        <v>0</v>
      </c>
      <c r="I71" s="220"/>
      <c r="J71" s="64"/>
      <c r="K71" s="64"/>
      <c r="L71" s="64"/>
      <c r="M71" s="64"/>
    </row>
    <row r="72" spans="1:16" ht="15.75" customHeight="1">
      <c r="A72" s="25" t="s">
        <v>180</v>
      </c>
      <c r="B72" s="178">
        <f>+OLD...Tabs!J47+OLD...Tabs!K47</f>
        <v>92.10662395318333</v>
      </c>
      <c r="C72" s="178">
        <f>+OLD...Tabs!J78+OLD...Tabs!K78</f>
        <v>0</v>
      </c>
      <c r="D72" s="178">
        <f>+OLD...Tabs!J109+OLD...Tabs!K109</f>
        <v>53.345799385601708</v>
      </c>
      <c r="E72" s="178">
        <f>+OLD...Tabs!J140+OLD...Tabs!K140</f>
        <v>78.111389571522409</v>
      </c>
      <c r="F72" s="178">
        <f>+OLD...Tabs!J170+OLD...Tabs!K170</f>
        <v>0</v>
      </c>
      <c r="G72" s="178">
        <f>+OLD...Tabs!J201+OLD...Tabs!K201</f>
        <v>0</v>
      </c>
      <c r="H72" s="170">
        <f>+OLD...Tabs!J15+OLD...Tabs!K15</f>
        <v>75.258293215559362</v>
      </c>
      <c r="I72" s="220"/>
      <c r="J72" s="64"/>
      <c r="K72" s="64"/>
      <c r="L72" s="64"/>
      <c r="M72" s="64"/>
    </row>
    <row r="73" spans="1:16" ht="15.75" customHeight="1">
      <c r="A73" s="25" t="s">
        <v>181</v>
      </c>
      <c r="B73" s="178">
        <f>+OLD...Tabs!J48+OLD...Tabs!K48</f>
        <v>0</v>
      </c>
      <c r="C73" s="178">
        <f>+OLD...Tabs!J79+OLD...Tabs!K79</f>
        <v>0</v>
      </c>
      <c r="D73" s="178">
        <f>+OLD...Tabs!J110+OLD...Tabs!K110</f>
        <v>0</v>
      </c>
      <c r="E73" s="178">
        <f>+OLD...Tabs!J141+OLD...Tabs!K141</f>
        <v>0</v>
      </c>
      <c r="F73" s="178">
        <f>+OLD...Tabs!J171+OLD...Tabs!K171</f>
        <v>0</v>
      </c>
      <c r="G73" s="178">
        <f>+OLD...Tabs!J202+OLD...Tabs!K202</f>
        <v>0</v>
      </c>
      <c r="H73" s="170">
        <f>+OLD...Tabs!J16+OLD...Tabs!K16</f>
        <v>0</v>
      </c>
      <c r="I73" s="220"/>
      <c r="J73" s="64"/>
      <c r="K73" s="64"/>
      <c r="L73" s="64"/>
      <c r="M73" s="64"/>
    </row>
    <row r="74" spans="1:16" ht="15.75" customHeight="1">
      <c r="A74" s="25" t="s">
        <v>182</v>
      </c>
      <c r="B74" s="178">
        <f>+OLD...Tabs!J49+OLD...Tabs!K49</f>
        <v>95.922565149206775</v>
      </c>
      <c r="C74" s="178">
        <f>+OLD...Tabs!J80+OLD...Tabs!K80</f>
        <v>87.664371869665544</v>
      </c>
      <c r="D74" s="178">
        <f>+OLD...Tabs!J111+OLD...Tabs!K111</f>
        <v>89.267436759760201</v>
      </c>
      <c r="E74" s="178">
        <f>+OLD...Tabs!J142+OLD...Tabs!K142</f>
        <v>48.955863149647435</v>
      </c>
      <c r="F74" s="178">
        <f>+OLD...Tabs!J172+OLD...Tabs!K172</f>
        <v>0</v>
      </c>
      <c r="G74" s="178">
        <f>+OLD...Tabs!J203+OLD...Tabs!K203</f>
        <v>100</v>
      </c>
      <c r="H74" s="170">
        <f>+OLD...Tabs!J17+OLD...Tabs!K17</f>
        <v>54.223003020872198</v>
      </c>
      <c r="I74" s="220"/>
      <c r="J74" s="64"/>
      <c r="K74" s="64"/>
      <c r="L74" s="64"/>
      <c r="M74" s="64"/>
    </row>
    <row r="75" spans="1:16" ht="15.75" customHeight="1">
      <c r="A75" s="25"/>
      <c r="B75" s="178"/>
      <c r="C75" s="178"/>
      <c r="D75" s="178"/>
      <c r="E75" s="178"/>
      <c r="F75" s="178"/>
      <c r="G75" s="178"/>
      <c r="H75" s="170"/>
      <c r="I75" s="220"/>
      <c r="J75" s="64"/>
      <c r="K75" s="64"/>
      <c r="L75" s="64"/>
      <c r="M75" s="64"/>
    </row>
    <row r="76" spans="1:16" ht="15.75" customHeight="1">
      <c r="A76" s="25" t="s">
        <v>183</v>
      </c>
      <c r="B76" s="178">
        <f>+OLD...Tabs!J51+OLD...Tabs!K51</f>
        <v>75.709278433584458</v>
      </c>
      <c r="C76" s="178">
        <f>+OLD...Tabs!J82+OLD...Tabs!K82</f>
        <v>96.029055690072639</v>
      </c>
      <c r="D76" s="178">
        <f>+OLD...Tabs!J113+OLD...Tabs!K113</f>
        <v>0</v>
      </c>
      <c r="E76" s="178">
        <f>+OLD...Tabs!J144+OLD...Tabs!K144</f>
        <v>60.535108326807617</v>
      </c>
      <c r="F76" s="178">
        <f>+OLD...Tabs!J174+OLD...Tabs!K174</f>
        <v>72.472783825816492</v>
      </c>
      <c r="G76" s="178">
        <f>+OLD...Tabs!J205+OLD...Tabs!K205</f>
        <v>0</v>
      </c>
      <c r="H76" s="170">
        <f>+OLD...Tabs!J19+OLD...Tabs!K19</f>
        <v>80.371723565200824</v>
      </c>
      <c r="I76" s="220"/>
      <c r="J76" s="64"/>
      <c r="K76" s="64"/>
      <c r="L76" s="64"/>
      <c r="M76" s="64"/>
    </row>
    <row r="77" spans="1:16" ht="15.75" customHeight="1">
      <c r="A77" s="25" t="s">
        <v>184</v>
      </c>
      <c r="B77" s="178">
        <f>+OLD...Tabs!J52+OLD...Tabs!K52</f>
        <v>88.730773281443561</v>
      </c>
      <c r="C77" s="178">
        <f>+OLD...Tabs!J83+OLD...Tabs!K83</f>
        <v>86.469787552044409</v>
      </c>
      <c r="D77" s="178">
        <f>+OLD...Tabs!J114+OLD...Tabs!K114</f>
        <v>71.174793321736644</v>
      </c>
      <c r="E77" s="178">
        <f>+OLD...Tabs!J145+OLD...Tabs!K145</f>
        <v>75.736458663287934</v>
      </c>
      <c r="F77" s="178">
        <f>+OLD...Tabs!J175+OLD...Tabs!K175</f>
        <v>70.081367708904736</v>
      </c>
      <c r="G77" s="178">
        <f>+OLD...Tabs!J206+OLD...Tabs!K206</f>
        <v>75.971033574720209</v>
      </c>
      <c r="H77" s="170">
        <f>+OLD...Tabs!J20+OLD...Tabs!K20</f>
        <v>81.581999742809813</v>
      </c>
      <c r="I77" s="220"/>
      <c r="J77" s="64"/>
      <c r="K77" s="64"/>
      <c r="L77" s="64"/>
      <c r="M77" s="64"/>
    </row>
    <row r="78" spans="1:16" ht="15.75" customHeight="1">
      <c r="A78" s="25" t="s">
        <v>185</v>
      </c>
      <c r="B78" s="178">
        <f>+OLD...Tabs!J53+OLD...Tabs!K53</f>
        <v>87.23337481738001</v>
      </c>
      <c r="C78" s="178">
        <f>+OLD...Tabs!J84+OLD...Tabs!K84</f>
        <v>0</v>
      </c>
      <c r="D78" s="178">
        <f>+OLD...Tabs!J115+OLD...Tabs!K115</f>
        <v>92.347713887328041</v>
      </c>
      <c r="E78" s="178">
        <f>+OLD...Tabs!J146+OLD...Tabs!K146</f>
        <v>0</v>
      </c>
      <c r="F78" s="178">
        <f>+OLD...Tabs!J176+OLD...Tabs!K176</f>
        <v>57.927590511860174</v>
      </c>
      <c r="G78" s="178">
        <f>+OLD...Tabs!J207+OLD...Tabs!K207</f>
        <v>0</v>
      </c>
      <c r="H78" s="170">
        <f>+OLD...Tabs!J21+OLD...Tabs!K21</f>
        <v>80.397479948280221</v>
      </c>
      <c r="I78" s="220"/>
      <c r="J78" s="64"/>
      <c r="K78" s="64"/>
      <c r="L78" s="64"/>
      <c r="M78" s="64"/>
    </row>
    <row r="79" spans="1:16" s="44" customFormat="1">
      <c r="A79" s="25" t="s">
        <v>186</v>
      </c>
      <c r="B79" s="178">
        <f>+OLD...Tabs!J54+OLD...Tabs!K54</f>
        <v>80.225691890642409</v>
      </c>
      <c r="C79" s="178">
        <f>+OLD...Tabs!J85+OLD...Tabs!K85</f>
        <v>0</v>
      </c>
      <c r="D79" s="178">
        <f>+OLD...Tabs!J116+OLD...Tabs!K116</f>
        <v>98.650616978591245</v>
      </c>
      <c r="E79" s="178">
        <f>+OLD...Tabs!J147+OLD...Tabs!K147</f>
        <v>98.471165010966331</v>
      </c>
      <c r="F79" s="178">
        <f>+OLD...Tabs!J177+OLD...Tabs!K177</f>
        <v>87.788607493808428</v>
      </c>
      <c r="G79" s="178">
        <f>+OLD...Tabs!J208+OLD...Tabs!K208</f>
        <v>66.841027973618381</v>
      </c>
      <c r="H79" s="170">
        <f>+OLD...Tabs!J22+OLD...Tabs!K22</f>
        <v>84.214924098532038</v>
      </c>
      <c r="I79" s="220"/>
      <c r="J79" s="64"/>
      <c r="K79" s="64"/>
      <c r="L79" s="64"/>
      <c r="M79" s="64"/>
      <c r="N79"/>
      <c r="O79"/>
      <c r="P79" s="15"/>
    </row>
    <row r="80" spans="1:16" s="44" customFormat="1" ht="27.75" customHeight="1">
      <c r="A80" s="25"/>
      <c r="B80" s="178"/>
      <c r="C80" s="178"/>
      <c r="D80" s="178"/>
      <c r="E80" s="178"/>
      <c r="F80" s="178"/>
      <c r="G80" s="178"/>
      <c r="H80" s="170"/>
      <c r="I80" s="220"/>
      <c r="J80" s="64"/>
      <c r="K80" s="64"/>
      <c r="L80" s="64"/>
      <c r="M80" s="64"/>
      <c r="N80"/>
      <c r="O80"/>
      <c r="P80" s="15"/>
    </row>
    <row r="81" spans="1:16" s="44" customFormat="1">
      <c r="A81" s="25" t="s">
        <v>187</v>
      </c>
      <c r="B81" s="178">
        <f>+OLD...Tabs!J56+OLD...Tabs!K56</f>
        <v>82.622604284103716</v>
      </c>
      <c r="C81" s="178">
        <f>+OLD...Tabs!J87+OLD...Tabs!K87</f>
        <v>84.852081811541268</v>
      </c>
      <c r="D81" s="178">
        <f>+OLD...Tabs!J118+OLD...Tabs!K118</f>
        <v>71.79736586135283</v>
      </c>
      <c r="E81" s="178">
        <f>+OLD...Tabs!J149+OLD...Tabs!K149</f>
        <v>0</v>
      </c>
      <c r="F81" s="178">
        <f>+OLD...Tabs!J179+OLD...Tabs!K179</f>
        <v>41.63295880149812</v>
      </c>
      <c r="G81" s="178">
        <f>+OLD...Tabs!J210+OLD...Tabs!K210</f>
        <v>0</v>
      </c>
      <c r="H81" s="170">
        <f>+OLD...Tabs!J24+OLD...Tabs!K24</f>
        <v>78.056045105013496</v>
      </c>
      <c r="I81" s="220"/>
      <c r="J81" s="64"/>
      <c r="K81" s="64"/>
      <c r="L81" s="64"/>
      <c r="M81" s="64"/>
      <c r="N81"/>
      <c r="O81"/>
      <c r="P81" s="15"/>
    </row>
    <row r="82" spans="1:16">
      <c r="A82" s="25" t="s">
        <v>188</v>
      </c>
      <c r="B82" s="178">
        <f>+OLD...Tabs!J57+OLD...Tabs!K57</f>
        <v>89.119132093571608</v>
      </c>
      <c r="C82" s="178">
        <f>+OLD...Tabs!J88+OLD...Tabs!K88</f>
        <v>72.146333593266817</v>
      </c>
      <c r="D82" s="178">
        <f>+OLD...Tabs!J119+OLD...Tabs!K119</f>
        <v>65.973760360102887</v>
      </c>
      <c r="E82" s="178">
        <f>+OLD...Tabs!J150+OLD...Tabs!K150</f>
        <v>36.613650527000303</v>
      </c>
      <c r="F82" s="178">
        <f>+OLD...Tabs!J180+OLD...Tabs!K180</f>
        <v>70.986666666666665</v>
      </c>
      <c r="G82" s="178">
        <f>+OLD...Tabs!J211+OLD...Tabs!K211</f>
        <v>93.674698795180717</v>
      </c>
      <c r="H82" s="170">
        <f>+OLD...Tabs!J25+OLD...Tabs!K25</f>
        <v>78.596047737547877</v>
      </c>
      <c r="I82" s="220"/>
      <c r="J82" s="64"/>
      <c r="K82" s="64"/>
      <c r="L82" s="64"/>
      <c r="M82" s="64"/>
    </row>
    <row r="83" spans="1:16" s="25" customFormat="1">
      <c r="A83" s="25" t="s">
        <v>189</v>
      </c>
      <c r="B83" s="178">
        <f>+OLD...Tabs!J58+OLD...Tabs!K58</f>
        <v>90.682577684212049</v>
      </c>
      <c r="C83" s="178">
        <f>+OLD...Tabs!J89+OLD...Tabs!K89</f>
        <v>95.987808920022829</v>
      </c>
      <c r="D83" s="178">
        <f>+OLD...Tabs!J120+OLD...Tabs!K120</f>
        <v>90.779017808008106</v>
      </c>
      <c r="E83" s="178">
        <f>+OLD...Tabs!J151+OLD...Tabs!K151</f>
        <v>93.639594716460664</v>
      </c>
      <c r="F83" s="178">
        <f>+OLD...Tabs!J181+OLD...Tabs!K181</f>
        <v>88.807059447983008</v>
      </c>
      <c r="G83" s="178">
        <f>+OLD...Tabs!J212+OLD...Tabs!K212</f>
        <v>0</v>
      </c>
      <c r="H83" s="170">
        <f>+OLD...Tabs!J26+OLD...Tabs!K26</f>
        <v>91.970345509997557</v>
      </c>
      <c r="I83" s="220"/>
      <c r="J83" s="64"/>
      <c r="K83" s="64"/>
      <c r="L83" s="64"/>
      <c r="M83" s="64"/>
      <c r="N83"/>
      <c r="O83"/>
      <c r="P83" s="15"/>
    </row>
    <row r="84" spans="1:16">
      <c r="A84" s="42" t="s">
        <v>190</v>
      </c>
      <c r="B84" s="158">
        <f>+OLD...Tabs!J59+OLD...Tabs!K59</f>
        <v>75.667856538807328</v>
      </c>
      <c r="C84" s="158">
        <f>+OLD...Tabs!J90+OLD...Tabs!K90</f>
        <v>0</v>
      </c>
      <c r="D84" s="158">
        <f>+OLD...Tabs!J121+OLD...Tabs!K121</f>
        <v>77.68926452076964</v>
      </c>
      <c r="E84" s="158">
        <f>+OLD...Tabs!J152+OLD...Tabs!K152</f>
        <v>0</v>
      </c>
      <c r="F84" s="158">
        <f>+OLD...Tabs!J182+OLD...Tabs!K182</f>
        <v>51.475562813484203</v>
      </c>
      <c r="G84" s="158">
        <f>+OLD...Tabs!J213+OLD...Tabs!K213</f>
        <v>49.94766589909986</v>
      </c>
      <c r="H84" s="171">
        <f>+OLD...Tabs!J27+OLD...Tabs!K27</f>
        <v>74.466207383464706</v>
      </c>
      <c r="I84" s="220"/>
      <c r="J84" s="64"/>
      <c r="K84" s="64"/>
      <c r="L84" s="64"/>
      <c r="M84" s="64"/>
    </row>
    <row r="85" spans="1:16">
      <c r="A85" s="44"/>
      <c r="B85" s="44"/>
      <c r="C85" s="44"/>
      <c r="D85" s="44"/>
      <c r="E85" s="44"/>
      <c r="F85" s="44"/>
      <c r="G85" s="44"/>
      <c r="H85" s="45"/>
      <c r="I85" s="44"/>
      <c r="J85" s="46"/>
      <c r="K85" s="44"/>
      <c r="L85" s="44"/>
      <c r="M85" s="46"/>
      <c r="N85" s="44"/>
      <c r="O85" s="44"/>
      <c r="P85" s="45"/>
    </row>
    <row r="86" spans="1:16">
      <c r="A86" s="65" t="s">
        <v>201</v>
      </c>
      <c r="B86" s="66"/>
      <c r="C86" s="66"/>
      <c r="D86" s="66"/>
      <c r="E86" s="66"/>
      <c r="F86" s="66"/>
      <c r="G86" s="66"/>
      <c r="H86" s="66"/>
      <c r="I86" s="44"/>
      <c r="J86" s="44"/>
      <c r="K86" s="44"/>
      <c r="L86" s="44"/>
      <c r="M86" s="46"/>
      <c r="N86" s="44"/>
      <c r="O86" s="44"/>
      <c r="P86" s="45"/>
    </row>
    <row r="87" spans="1:16" s="41" customFormat="1" ht="12.75">
      <c r="A87" s="44"/>
      <c r="B87" s="44"/>
      <c r="C87" s="44"/>
      <c r="D87" s="44"/>
      <c r="E87" s="44"/>
      <c r="F87" s="44"/>
      <c r="G87" s="44"/>
      <c r="H87" s="49" t="s">
        <v>900</v>
      </c>
      <c r="I87" s="44"/>
      <c r="J87" s="44"/>
      <c r="K87" s="44"/>
      <c r="L87" s="44"/>
      <c r="M87" s="46"/>
      <c r="N87" s="44"/>
      <c r="O87" s="44"/>
      <c r="P87" s="45"/>
    </row>
    <row r="88" spans="1:16" s="41" customFormat="1" ht="18">
      <c r="A88" s="16" t="s">
        <v>202</v>
      </c>
      <c r="B88" s="17"/>
      <c r="C88" s="17"/>
      <c r="D88" s="17"/>
      <c r="E88" s="17"/>
      <c r="F88" s="17"/>
      <c r="G88" s="18"/>
      <c r="H88" s="19"/>
      <c r="I88" s="218"/>
      <c r="J88" s="58"/>
      <c r="K88" s="58"/>
      <c r="L88" s="58"/>
      <c r="M88" s="59"/>
      <c r="N88"/>
      <c r="O88"/>
      <c r="P88" s="15"/>
    </row>
    <row r="89" spans="1:16" ht="11.25" customHeight="1">
      <c r="A89" s="22"/>
      <c r="B89" s="21"/>
      <c r="C89" s="21"/>
      <c r="D89" s="21"/>
      <c r="E89" s="21"/>
      <c r="F89" s="21"/>
      <c r="G89" s="21"/>
      <c r="H89" s="23"/>
      <c r="I89" s="60"/>
      <c r="J89" s="60"/>
      <c r="K89" s="60"/>
      <c r="L89" s="60"/>
      <c r="M89" s="61"/>
      <c r="N89" s="25"/>
      <c r="O89" s="25"/>
      <c r="P89" s="50"/>
    </row>
    <row r="90" spans="1:16" ht="15.75" customHeight="1">
      <c r="A90" s="26" t="s">
        <v>203</v>
      </c>
      <c r="B90" s="17"/>
      <c r="C90" s="17"/>
      <c r="D90" s="17"/>
      <c r="E90" s="17"/>
      <c r="F90" s="17"/>
      <c r="G90" s="18"/>
      <c r="H90" s="19"/>
      <c r="I90" s="218"/>
      <c r="J90" s="58"/>
      <c r="K90" s="58"/>
      <c r="L90" s="58"/>
      <c r="M90" s="59"/>
    </row>
    <row r="91" spans="1:16" ht="15.75" customHeight="1">
      <c r="A91" s="26" t="s">
        <v>262</v>
      </c>
      <c r="B91" s="21"/>
      <c r="C91" s="21"/>
      <c r="D91" s="21"/>
      <c r="E91" s="21"/>
      <c r="F91" s="21"/>
      <c r="G91" s="18"/>
      <c r="H91" s="19"/>
      <c r="I91" s="218"/>
      <c r="J91" s="58"/>
      <c r="K91" s="58"/>
      <c r="L91" s="58"/>
      <c r="M91" s="59"/>
    </row>
    <row r="92" spans="1:16" ht="15.75" customHeight="1">
      <c r="A92" s="67"/>
      <c r="B92" s="60"/>
      <c r="C92" s="60"/>
      <c r="D92" s="60"/>
      <c r="E92" s="60"/>
      <c r="F92" s="60"/>
      <c r="G92" s="58"/>
      <c r="H92" s="68"/>
      <c r="I92" s="218"/>
      <c r="J92" s="58"/>
      <c r="K92" s="58"/>
      <c r="L92" s="58"/>
      <c r="M92" s="59"/>
    </row>
    <row r="93" spans="1:16" ht="15.75" customHeight="1">
      <c r="A93" s="35"/>
      <c r="B93" s="36" t="s">
        <v>87</v>
      </c>
      <c r="C93" s="36"/>
      <c r="D93" s="36"/>
      <c r="E93" s="36"/>
      <c r="F93" s="36"/>
      <c r="G93" s="36"/>
      <c r="H93" s="36"/>
      <c r="I93" s="54"/>
      <c r="J93" s="54"/>
      <c r="K93" s="54"/>
      <c r="L93" s="54"/>
      <c r="M93" s="54"/>
      <c r="N93" s="54"/>
      <c r="O93" s="41"/>
      <c r="P93" s="63"/>
    </row>
    <row r="94" spans="1:16" ht="15.75" customHeight="1">
      <c r="A94" s="35"/>
      <c r="B94" s="36">
        <v>1</v>
      </c>
      <c r="C94" s="36">
        <v>2</v>
      </c>
      <c r="D94" s="36">
        <v>3</v>
      </c>
      <c r="E94" s="36">
        <v>4</v>
      </c>
      <c r="F94" s="36">
        <v>5</v>
      </c>
      <c r="G94" s="36">
        <v>6</v>
      </c>
      <c r="H94" s="40" t="s">
        <v>173</v>
      </c>
      <c r="I94" s="54"/>
      <c r="J94" s="54"/>
      <c r="K94" s="54"/>
      <c r="L94" s="54"/>
      <c r="M94" s="54"/>
      <c r="N94" s="54"/>
      <c r="O94" s="41"/>
      <c r="P94" s="63"/>
    </row>
    <row r="95" spans="1:16">
      <c r="A95" s="25" t="s">
        <v>175</v>
      </c>
      <c r="B95" s="177">
        <f>+OLD...Tabs!L41</f>
        <v>10.921617683913636</v>
      </c>
      <c r="C95" s="177">
        <f>+OLD...Tabs!L72</f>
        <v>16.308309037900869</v>
      </c>
      <c r="D95" s="177">
        <f>+OLD...Tabs!L103</f>
        <v>30.062970503290565</v>
      </c>
      <c r="E95" s="177">
        <f>+OLD...Tabs!L134</f>
        <v>22.298438803965073</v>
      </c>
      <c r="F95" s="177">
        <f>+OLD...Tabs!L164</f>
        <v>74.137663010622674</v>
      </c>
      <c r="G95" s="177">
        <f>+OLD...Tabs!L195</f>
        <v>0</v>
      </c>
      <c r="H95" s="169">
        <f>+OLD...Tabs!L9</f>
        <v>24.450217444957914</v>
      </c>
      <c r="I95" s="220"/>
      <c r="J95" s="64"/>
      <c r="K95" s="64"/>
      <c r="L95" s="64"/>
      <c r="M95" s="64"/>
      <c r="N95" s="14"/>
    </row>
    <row r="96" spans="1:16">
      <c r="A96" s="25" t="s">
        <v>176</v>
      </c>
      <c r="B96" s="178">
        <f>+OLD...Tabs!L42</f>
        <v>19.934113039796781</v>
      </c>
      <c r="C96" s="178">
        <f>+OLD...Tabs!L73</f>
        <v>0</v>
      </c>
      <c r="D96" s="178">
        <f>+OLD...Tabs!L104</f>
        <v>42.263503189268967</v>
      </c>
      <c r="E96" s="178">
        <f>+OLD...Tabs!L135</f>
        <v>36.693690518152984</v>
      </c>
      <c r="F96" s="178">
        <f>+OLD...Tabs!L165</f>
        <v>49.633346198379002</v>
      </c>
      <c r="G96" s="178">
        <f>+OLD...Tabs!L196</f>
        <v>19.559099437148216</v>
      </c>
      <c r="H96" s="170">
        <f>+OLD...Tabs!L10</f>
        <v>35.119668995786249</v>
      </c>
      <c r="I96" s="220"/>
      <c r="J96" s="64"/>
      <c r="K96" s="64"/>
      <c r="L96" s="64"/>
      <c r="M96" s="64"/>
      <c r="N96" s="14"/>
    </row>
    <row r="97" spans="1:16">
      <c r="A97" s="25" t="s">
        <v>177</v>
      </c>
      <c r="B97" s="178">
        <f>+OLD...Tabs!L43</f>
        <v>6.2795037874629482</v>
      </c>
      <c r="C97" s="178">
        <f>+OLD...Tabs!L74</f>
        <v>0</v>
      </c>
      <c r="D97" s="178">
        <f>+OLD...Tabs!L105</f>
        <v>0</v>
      </c>
      <c r="E97" s="178">
        <f>+OLD...Tabs!L136</f>
        <v>0.30412255012390182</v>
      </c>
      <c r="F97" s="178">
        <f>+OLD...Tabs!L166</f>
        <v>0</v>
      </c>
      <c r="G97" s="178">
        <f>+OLD...Tabs!L197</f>
        <v>0</v>
      </c>
      <c r="H97" s="170">
        <f>+OLD...Tabs!L11</f>
        <v>5.4445004092425862</v>
      </c>
      <c r="I97" s="220"/>
      <c r="J97" s="64"/>
      <c r="K97" s="64"/>
      <c r="L97" s="64"/>
      <c r="M97" s="64"/>
      <c r="N97" s="14"/>
    </row>
    <row r="98" spans="1:16">
      <c r="A98" s="25" t="s">
        <v>193</v>
      </c>
      <c r="B98" s="178">
        <f>+OLD...Tabs!L44</f>
        <v>22.332167240147278</v>
      </c>
      <c r="C98" s="178">
        <f>+OLD...Tabs!L75</f>
        <v>24.324725621450401</v>
      </c>
      <c r="D98" s="178">
        <f>+OLD...Tabs!L106</f>
        <v>22.969660895292449</v>
      </c>
      <c r="E98" s="178">
        <f>+OLD...Tabs!L137</f>
        <v>42.150510839770746</v>
      </c>
      <c r="F98" s="178">
        <f>+OLD...Tabs!L167</f>
        <v>0</v>
      </c>
      <c r="G98" s="178">
        <f>+OLD...Tabs!L198</f>
        <v>0</v>
      </c>
      <c r="H98" s="170">
        <f>+OLD...Tabs!L12</f>
        <v>22.894480866106242</v>
      </c>
      <c r="I98" s="220"/>
      <c r="J98" s="64"/>
      <c r="K98" s="64"/>
      <c r="L98" s="64"/>
      <c r="M98" s="64"/>
      <c r="N98" s="14"/>
    </row>
    <row r="99" spans="1:16">
      <c r="A99" s="25"/>
      <c r="B99" s="178"/>
      <c r="C99" s="178"/>
      <c r="D99" s="178"/>
      <c r="E99" s="178"/>
      <c r="F99" s="178"/>
      <c r="G99" s="178"/>
      <c r="H99" s="170"/>
      <c r="I99" s="220"/>
      <c r="J99" s="64"/>
      <c r="K99" s="64"/>
      <c r="L99" s="64"/>
      <c r="M99" s="64"/>
      <c r="N99" s="14"/>
    </row>
    <row r="100" spans="1:16">
      <c r="A100" s="25" t="s">
        <v>179</v>
      </c>
      <c r="B100" s="178">
        <f>+OLD...Tabs!L46</f>
        <v>0</v>
      </c>
      <c r="C100" s="178">
        <f>+OLD...Tabs!L77</f>
        <v>0</v>
      </c>
      <c r="D100" s="178">
        <f>+OLD...Tabs!L108</f>
        <v>0</v>
      </c>
      <c r="E100" s="178">
        <f>+OLD...Tabs!L139</f>
        <v>0</v>
      </c>
      <c r="F100" s="178">
        <f>+OLD...Tabs!L169</f>
        <v>0</v>
      </c>
      <c r="G100" s="178">
        <f>+OLD...Tabs!L200</f>
        <v>0</v>
      </c>
      <c r="H100" s="170">
        <f>+OLD...Tabs!L14</f>
        <v>0</v>
      </c>
      <c r="I100" s="220"/>
      <c r="J100" s="64"/>
      <c r="K100" s="64"/>
      <c r="L100" s="64"/>
      <c r="M100" s="64"/>
      <c r="N100" s="14"/>
    </row>
    <row r="101" spans="1:16">
      <c r="A101" s="25" t="s">
        <v>180</v>
      </c>
      <c r="B101" s="178">
        <f>+OLD...Tabs!L47</f>
        <v>7.8933760468166687</v>
      </c>
      <c r="C101" s="178">
        <f>+OLD...Tabs!L78</f>
        <v>0</v>
      </c>
      <c r="D101" s="178">
        <f>+OLD...Tabs!L109</f>
        <v>46.654200614398292</v>
      </c>
      <c r="E101" s="178">
        <f>+OLD...Tabs!L140</f>
        <v>21.888610428477577</v>
      </c>
      <c r="F101" s="178">
        <f>+OLD...Tabs!L170</f>
        <v>0</v>
      </c>
      <c r="G101" s="178">
        <f>+OLD...Tabs!L201</f>
        <v>0</v>
      </c>
      <c r="H101" s="170">
        <f>+OLD...Tabs!L15</f>
        <v>24.741706784440627</v>
      </c>
      <c r="I101" s="220"/>
      <c r="J101" s="64"/>
      <c r="K101" s="64"/>
      <c r="L101" s="64"/>
      <c r="M101" s="64"/>
      <c r="N101" s="14"/>
    </row>
    <row r="102" spans="1:16">
      <c r="A102" s="25" t="s">
        <v>181</v>
      </c>
      <c r="B102" s="178">
        <f>+OLD...Tabs!L48</f>
        <v>0</v>
      </c>
      <c r="C102" s="178">
        <f>+OLD...Tabs!L79</f>
        <v>0</v>
      </c>
      <c r="D102" s="178">
        <f>+OLD...Tabs!L110</f>
        <v>0</v>
      </c>
      <c r="E102" s="178">
        <f>+OLD...Tabs!L141</f>
        <v>0</v>
      </c>
      <c r="F102" s="178">
        <f>+OLD...Tabs!L171</f>
        <v>0</v>
      </c>
      <c r="G102" s="178">
        <f>+OLD...Tabs!L202</f>
        <v>0</v>
      </c>
      <c r="H102" s="170">
        <f>+OLD...Tabs!L16</f>
        <v>0</v>
      </c>
      <c r="I102" s="220"/>
      <c r="J102" s="64"/>
      <c r="K102" s="64"/>
      <c r="L102" s="64"/>
      <c r="M102" s="64"/>
      <c r="N102" s="14"/>
    </row>
    <row r="103" spans="1:16">
      <c r="A103" s="25" t="s">
        <v>194</v>
      </c>
      <c r="B103" s="178">
        <f>+OLD...Tabs!L49</f>
        <v>4.0774348507932254</v>
      </c>
      <c r="C103" s="178">
        <f>+OLD...Tabs!L80</f>
        <v>12.335628130334467</v>
      </c>
      <c r="D103" s="178">
        <f>+OLD...Tabs!L111</f>
        <v>10.7325632402398</v>
      </c>
      <c r="E103" s="178">
        <f>+OLD...Tabs!L142</f>
        <v>51.044136850352572</v>
      </c>
      <c r="F103" s="178">
        <f>+OLD...Tabs!L172</f>
        <v>0</v>
      </c>
      <c r="G103" s="178">
        <f>+OLD...Tabs!L203</f>
        <v>0</v>
      </c>
      <c r="H103" s="170">
        <f>+OLD...Tabs!L17</f>
        <v>45.776996979127794</v>
      </c>
      <c r="I103" s="220"/>
      <c r="J103" s="64"/>
      <c r="K103" s="64"/>
      <c r="L103" s="64"/>
      <c r="M103" s="64"/>
      <c r="N103" s="14"/>
    </row>
    <row r="104" spans="1:16">
      <c r="A104" s="25"/>
      <c r="B104" s="178"/>
      <c r="C104" s="178"/>
      <c r="D104" s="178"/>
      <c r="E104" s="178"/>
      <c r="F104" s="178"/>
      <c r="G104" s="178"/>
      <c r="H104" s="170"/>
      <c r="I104" s="220"/>
      <c r="J104" s="64"/>
      <c r="K104" s="64"/>
      <c r="L104" s="64"/>
      <c r="M104" s="64"/>
      <c r="N104" s="14"/>
    </row>
    <row r="105" spans="1:16">
      <c r="A105" s="25" t="s">
        <v>183</v>
      </c>
      <c r="B105" s="178">
        <f>+OLD...Tabs!L51</f>
        <v>24.290721566415538</v>
      </c>
      <c r="C105" s="178">
        <f>+OLD...Tabs!L82</f>
        <v>3.967525993448227</v>
      </c>
      <c r="D105" s="178">
        <f>+OLD...Tabs!L113</f>
        <v>0</v>
      </c>
      <c r="E105" s="178">
        <f>+OLD...Tabs!L144</f>
        <v>39.464891673192376</v>
      </c>
      <c r="F105" s="178">
        <f>+OLD...Tabs!L174</f>
        <v>27.527216174183515</v>
      </c>
      <c r="G105" s="178">
        <f>+OLD...Tabs!L205</f>
        <v>0</v>
      </c>
      <c r="H105" s="170">
        <f>+OLD...Tabs!L19</f>
        <v>19.627098479062816</v>
      </c>
      <c r="I105" s="220"/>
      <c r="J105" s="64"/>
      <c r="K105" s="64"/>
      <c r="L105" s="64"/>
      <c r="M105" s="64"/>
      <c r="N105" s="14"/>
    </row>
    <row r="106" spans="1:16">
      <c r="A106" s="25" t="s">
        <v>184</v>
      </c>
      <c r="B106" s="178">
        <f>+OLD...Tabs!L52</f>
        <v>11.269226718556448</v>
      </c>
      <c r="C106" s="178">
        <f>+OLD...Tabs!L83</f>
        <v>13.530212447955588</v>
      </c>
      <c r="D106" s="178">
        <f>+OLD...Tabs!L114</f>
        <v>28.825206678263367</v>
      </c>
      <c r="E106" s="178">
        <f>+OLD...Tabs!L145</f>
        <v>24.26354133671207</v>
      </c>
      <c r="F106" s="178">
        <f>+OLD...Tabs!L175</f>
        <v>29.918632291095268</v>
      </c>
      <c r="G106" s="178">
        <f>+OLD...Tabs!L206</f>
        <v>24.028966425279787</v>
      </c>
      <c r="H106" s="170">
        <f>+OLD...Tabs!L20</f>
        <v>18.418000257190183</v>
      </c>
      <c r="I106" s="220"/>
      <c r="J106" s="64"/>
      <c r="K106" s="64"/>
      <c r="L106" s="64"/>
      <c r="M106" s="64"/>
      <c r="N106" s="14"/>
    </row>
    <row r="107" spans="1:16">
      <c r="A107" s="25" t="s">
        <v>185</v>
      </c>
      <c r="B107" s="178">
        <f>+OLD...Tabs!L53</f>
        <v>12.748227909745143</v>
      </c>
      <c r="C107" s="178">
        <f>+OLD...Tabs!L84</f>
        <v>0</v>
      </c>
      <c r="D107" s="178">
        <f>+OLD...Tabs!L115</f>
        <v>7.6522861126719519</v>
      </c>
      <c r="E107" s="178">
        <f>+OLD...Tabs!L146</f>
        <v>0</v>
      </c>
      <c r="F107" s="178">
        <f>+OLD...Tabs!L176</f>
        <v>42.072409488139826</v>
      </c>
      <c r="G107" s="178">
        <f>+OLD...Tabs!L207</f>
        <v>0</v>
      </c>
      <c r="H107" s="170">
        <f>+OLD...Tabs!L21</f>
        <v>19.593762717452336</v>
      </c>
      <c r="I107" s="220"/>
      <c r="J107" s="64"/>
      <c r="K107" s="64"/>
      <c r="L107" s="64"/>
      <c r="M107" s="64"/>
      <c r="N107" s="14"/>
    </row>
    <row r="108" spans="1:16" s="44" customFormat="1">
      <c r="A108" s="25" t="s">
        <v>186</v>
      </c>
      <c r="B108" s="178">
        <f>+OLD...Tabs!L54</f>
        <v>19.774308109357598</v>
      </c>
      <c r="C108" s="178">
        <f>+OLD...Tabs!L85</f>
        <v>0</v>
      </c>
      <c r="D108" s="178">
        <f>+OLD...Tabs!L116</f>
        <v>1.349383021408745</v>
      </c>
      <c r="E108" s="178">
        <f>+OLD...Tabs!L147</f>
        <v>1.5288349890336732</v>
      </c>
      <c r="F108" s="178">
        <f>+OLD...Tabs!L177</f>
        <v>12.211392506191579</v>
      </c>
      <c r="G108" s="178">
        <f>+OLD...Tabs!L208</f>
        <v>33.158972026381626</v>
      </c>
      <c r="H108" s="170">
        <f>+OLD...Tabs!L22</f>
        <v>15.78507590146797</v>
      </c>
      <c r="I108" s="220"/>
      <c r="J108" s="64"/>
      <c r="K108" s="64"/>
      <c r="L108" s="64"/>
      <c r="M108" s="64"/>
      <c r="N108" s="14"/>
      <c r="O108"/>
      <c r="P108" s="15"/>
    </row>
    <row r="109" spans="1:16" s="44" customFormat="1">
      <c r="A109" s="25"/>
      <c r="B109" s="178"/>
      <c r="C109" s="178"/>
      <c r="D109" s="178"/>
      <c r="E109" s="178"/>
      <c r="F109" s="178"/>
      <c r="G109" s="178"/>
      <c r="H109" s="170"/>
      <c r="I109" s="220"/>
      <c r="J109" s="64"/>
      <c r="K109" s="64"/>
      <c r="L109" s="64"/>
      <c r="M109" s="64"/>
      <c r="N109" s="14"/>
      <c r="O109"/>
      <c r="P109" s="15"/>
    </row>
    <row r="110" spans="1:16" s="44" customFormat="1">
      <c r="A110" s="25" t="s">
        <v>187</v>
      </c>
      <c r="B110" s="178">
        <f>+OLD...Tabs!L56</f>
        <v>14.492202179631716</v>
      </c>
      <c r="C110" s="178">
        <f>+OLD...Tabs!L87</f>
        <v>6.0110786462137815</v>
      </c>
      <c r="D110" s="178">
        <f>+OLD...Tabs!L118</f>
        <v>22.233102868109047</v>
      </c>
      <c r="E110" s="178">
        <f>+OLD...Tabs!L149</f>
        <v>0</v>
      </c>
      <c r="F110" s="178">
        <f>+OLD...Tabs!L179</f>
        <v>58.367041198501873</v>
      </c>
      <c r="G110" s="178">
        <f>+OLD...Tabs!L210</f>
        <v>0</v>
      </c>
      <c r="H110" s="170">
        <f>+OLD...Tabs!L24</f>
        <v>17.438644278945144</v>
      </c>
      <c r="I110" s="220"/>
      <c r="J110" s="64"/>
      <c r="K110" s="64"/>
      <c r="L110" s="64"/>
      <c r="M110" s="64"/>
      <c r="N110" s="14"/>
      <c r="O110"/>
      <c r="P110" s="15"/>
    </row>
    <row r="111" spans="1:16" s="44" customFormat="1">
      <c r="A111" s="25" t="s">
        <v>188</v>
      </c>
      <c r="B111" s="178">
        <f>+OLD...Tabs!L57</f>
        <v>10.88086790642838</v>
      </c>
      <c r="C111" s="178">
        <f>+OLD...Tabs!L88</f>
        <v>27.853666406733172</v>
      </c>
      <c r="D111" s="178">
        <f>+OLD...Tabs!L119</f>
        <v>34.026239639897113</v>
      </c>
      <c r="E111" s="178">
        <f>+OLD...Tabs!L150</f>
        <v>63.386349472999704</v>
      </c>
      <c r="F111" s="178">
        <f>+OLD...Tabs!L180</f>
        <v>29.013333333333335</v>
      </c>
      <c r="G111" s="178">
        <f>+OLD...Tabs!L211</f>
        <v>6.3253012048192776</v>
      </c>
      <c r="H111" s="170">
        <f>+OLD...Tabs!L25</f>
        <v>21.40395226245213</v>
      </c>
      <c r="I111" s="220"/>
      <c r="J111" s="64"/>
      <c r="K111" s="64"/>
      <c r="L111" s="64"/>
      <c r="M111" s="64"/>
      <c r="N111" s="14"/>
      <c r="O111"/>
      <c r="P111" s="15"/>
    </row>
    <row r="112" spans="1:16">
      <c r="A112" s="25" t="s">
        <v>189</v>
      </c>
      <c r="B112" s="178">
        <f>+OLD...Tabs!L58</f>
        <v>9.317422315787951</v>
      </c>
      <c r="C112" s="178">
        <f>+OLD...Tabs!L89</f>
        <v>4.0121910799771729</v>
      </c>
      <c r="D112" s="178">
        <f>+OLD...Tabs!L120</f>
        <v>9.2209821919918991</v>
      </c>
      <c r="E112" s="178">
        <f>+OLD...Tabs!L151</f>
        <v>6.3604052835393352</v>
      </c>
      <c r="F112" s="178">
        <f>+OLD...Tabs!L181</f>
        <v>11.192940552016985</v>
      </c>
      <c r="G112" s="178">
        <f>+OLD...Tabs!L212</f>
        <v>0</v>
      </c>
      <c r="H112" s="170">
        <f>+OLD...Tabs!L26</f>
        <v>8.0296544900024376</v>
      </c>
      <c r="I112" s="220"/>
      <c r="J112" s="64"/>
      <c r="K112" s="64"/>
      <c r="L112" s="64"/>
      <c r="M112" s="64"/>
      <c r="N112" s="14"/>
    </row>
    <row r="113" spans="1:16">
      <c r="A113" s="42" t="s">
        <v>190</v>
      </c>
      <c r="B113" s="158">
        <f>+OLD...Tabs!L59</f>
        <v>24.332143461192661</v>
      </c>
      <c r="C113" s="158">
        <f>+OLD...Tabs!L90</f>
        <v>0</v>
      </c>
      <c r="D113" s="158">
        <f>+OLD...Tabs!L121</f>
        <v>22.310735479230352</v>
      </c>
      <c r="E113" s="158">
        <f>+OLD...Tabs!L152</f>
        <v>0</v>
      </c>
      <c r="F113" s="158">
        <f>+OLD...Tabs!L182</f>
        <v>48.524437186515804</v>
      </c>
      <c r="G113" s="158">
        <f>+OLD...Tabs!L213</f>
        <v>50.05233410090014</v>
      </c>
      <c r="H113" s="171">
        <f>+OLD...Tabs!L27</f>
        <v>25.533792616535298</v>
      </c>
      <c r="I113" s="220"/>
      <c r="J113" s="64"/>
      <c r="K113" s="64"/>
      <c r="L113" s="64"/>
      <c r="M113" s="64"/>
      <c r="N113" s="14"/>
      <c r="O113" s="14"/>
      <c r="P113" s="179"/>
    </row>
    <row r="114" spans="1:16" ht="30.75" customHeight="1">
      <c r="A114" s="645" t="s">
        <v>204</v>
      </c>
      <c r="B114" s="646"/>
      <c r="C114" s="646"/>
      <c r="D114" s="646"/>
      <c r="E114" s="646"/>
      <c r="F114" s="646"/>
      <c r="G114" s="646"/>
      <c r="H114" s="646"/>
      <c r="I114" s="621"/>
      <c r="J114" s="180"/>
      <c r="K114" s="180"/>
      <c r="L114" s="180"/>
      <c r="M114" s="180"/>
      <c r="N114" s="180"/>
      <c r="O114" s="180"/>
      <c r="P114" s="180"/>
    </row>
    <row r="115" spans="1:16">
      <c r="A115" s="65" t="s">
        <v>197</v>
      </c>
      <c r="B115" s="70"/>
      <c r="C115" s="70"/>
      <c r="D115" s="70"/>
      <c r="E115" s="70"/>
      <c r="F115" s="70"/>
      <c r="G115" s="70"/>
      <c r="H115" s="70"/>
      <c r="I115" s="46"/>
      <c r="J115" s="46"/>
      <c r="K115" s="46"/>
      <c r="L115" s="46"/>
      <c r="M115" s="46"/>
      <c r="N115" s="46"/>
      <c r="O115" s="44"/>
      <c r="P115" s="45"/>
    </row>
    <row r="116" spans="1:16">
      <c r="A116" s="55"/>
      <c r="B116" s="56"/>
      <c r="C116" s="56"/>
      <c r="D116" s="56"/>
      <c r="E116" s="56"/>
      <c r="F116" s="56"/>
      <c r="G116" s="56"/>
      <c r="H116" s="57"/>
      <c r="I116" s="606"/>
      <c r="J116" s="56"/>
      <c r="K116" s="56"/>
      <c r="L116" s="56"/>
      <c r="M116" s="56"/>
      <c r="N116" s="56"/>
      <c r="O116" s="56"/>
      <c r="P116" s="57"/>
    </row>
    <row r="117" spans="1:16">
      <c r="A117" s="44"/>
      <c r="B117" s="44"/>
      <c r="C117" s="44"/>
      <c r="D117" s="44"/>
      <c r="E117" s="44"/>
      <c r="F117" s="44"/>
      <c r="G117" s="44"/>
      <c r="H117" s="49" t="s">
        <v>900</v>
      </c>
      <c r="I117" s="46"/>
      <c r="J117" s="46"/>
      <c r="K117" s="46"/>
      <c r="L117" s="46"/>
      <c r="M117" s="46"/>
      <c r="N117" s="46"/>
      <c r="O117" s="44"/>
      <c r="P117" s="45"/>
    </row>
  </sheetData>
  <mergeCells count="6">
    <mergeCell ref="A114:H114"/>
    <mergeCell ref="B5:H5"/>
    <mergeCell ref="I5:M5"/>
    <mergeCell ref="A29:P29"/>
    <mergeCell ref="A31:P31"/>
    <mergeCell ref="A54:P54"/>
  </mergeCells>
  <pageMargins left="0.7" right="0.7" top="0.75" bottom="0.75" header="0.3" footer="0.3"/>
  <pageSetup firstPageNumber="87" orientation="landscape" useFirstPageNumber="1" r:id="rId1"/>
  <headerFooter>
    <oddHeader>&amp;R&amp;"Arial,Regular"&amp;8SREB-State Data Exchange</oddHeader>
    <oddFooter>&amp;CC-&amp;P</oddFooter>
  </headerFooter>
  <rowBreaks count="3" manualBreakCount="3">
    <brk id="28" max="15" man="1"/>
    <brk id="57" max="15" man="1"/>
    <brk id="87" max="1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O532"/>
  <sheetViews>
    <sheetView showGridLines="0" showZeros="0" view="pageBreakPreview" topLeftCell="A180" zoomScaleNormal="100" zoomScaleSheetLayoutView="100" workbookViewId="0">
      <selection activeCell="O114" sqref="O114"/>
    </sheetView>
  </sheetViews>
  <sheetFormatPr defaultRowHeight="12.75"/>
  <cols>
    <col min="1" max="1" width="13.42578125" style="50" customWidth="1"/>
    <col min="2" max="2" width="9.140625" style="50" customWidth="1"/>
    <col min="3" max="3" width="9.42578125" style="50" bestFit="1" customWidth="1"/>
    <col min="4" max="4" width="9.85546875" style="50" bestFit="1" customWidth="1"/>
    <col min="5" max="5" width="5.7109375" style="50" bestFit="1" customWidth="1"/>
    <col min="6" max="6" width="11.42578125" style="50" customWidth="1"/>
    <col min="7" max="7" width="7.85546875" style="50" bestFit="1" customWidth="1"/>
    <col min="8" max="8" width="12.28515625" style="102" bestFit="1" customWidth="1"/>
    <col min="9" max="9" width="13" style="126" customWidth="1"/>
    <col min="10" max="11" width="9" style="50" customWidth="1"/>
    <col min="12" max="12" width="10" style="50" bestFit="1" customWidth="1"/>
    <col min="13" max="13" width="6.42578125" style="50" bestFit="1" customWidth="1"/>
    <col min="14" max="14" width="11.28515625" style="50" customWidth="1"/>
    <col min="15" max="15" width="7.85546875" style="50" bestFit="1" customWidth="1"/>
    <col min="16" max="16" width="12.28515625" style="50" bestFit="1" customWidth="1"/>
    <col min="17" max="17" width="11.5703125" style="130" bestFit="1" customWidth="1"/>
    <col min="18" max="18" width="11.5703125" style="132" bestFit="1" customWidth="1"/>
    <col min="19" max="16384" width="9.140625" style="129"/>
  </cols>
  <sheetData>
    <row r="1" spans="1:41" ht="18">
      <c r="A1" s="16" t="s">
        <v>265</v>
      </c>
      <c r="B1" s="71"/>
      <c r="C1" s="71"/>
      <c r="D1" s="71"/>
      <c r="E1" s="71"/>
      <c r="F1" s="71"/>
      <c r="G1" s="71"/>
      <c r="H1" s="72"/>
      <c r="I1" s="16" t="s">
        <v>280</v>
      </c>
      <c r="J1" s="23"/>
      <c r="K1" s="23"/>
      <c r="L1" s="71"/>
      <c r="M1" s="23"/>
      <c r="N1" s="23"/>
      <c r="O1" s="23"/>
      <c r="P1" s="23"/>
      <c r="Q1" s="127"/>
      <c r="R1" s="128"/>
    </row>
    <row r="2" spans="1:41" ht="15">
      <c r="A2" s="22"/>
      <c r="B2" s="23"/>
      <c r="C2" s="23"/>
      <c r="D2" s="23"/>
      <c r="E2" s="23"/>
      <c r="F2" s="23"/>
      <c r="G2" s="23"/>
      <c r="H2" s="73"/>
      <c r="I2" s="22"/>
      <c r="J2" s="23"/>
      <c r="K2" s="23"/>
      <c r="L2" s="23"/>
      <c r="M2" s="23"/>
      <c r="N2" s="23"/>
      <c r="O2" s="23"/>
      <c r="P2" s="23"/>
      <c r="Q2" s="660"/>
      <c r="R2" s="661"/>
      <c r="S2" s="661"/>
      <c r="T2" s="661"/>
      <c r="U2" s="661"/>
      <c r="V2" s="661"/>
      <c r="W2" s="661"/>
      <c r="X2" s="661"/>
    </row>
    <row r="3" spans="1:41" ht="15.75">
      <c r="A3" s="74" t="s">
        <v>205</v>
      </c>
      <c r="B3" s="23"/>
      <c r="C3" s="23"/>
      <c r="D3" s="23"/>
      <c r="E3" s="23"/>
      <c r="F3" s="23"/>
      <c r="G3" s="23"/>
      <c r="H3" s="73"/>
      <c r="I3" s="74" t="s">
        <v>206</v>
      </c>
      <c r="J3" s="23"/>
      <c r="K3" s="23"/>
      <c r="L3" s="23"/>
      <c r="M3" s="23"/>
      <c r="N3" s="23"/>
      <c r="O3" s="23"/>
      <c r="P3" s="23"/>
      <c r="R3" s="131" t="s">
        <v>39</v>
      </c>
    </row>
    <row r="4" spans="1:41" ht="15.75">
      <c r="A4" s="74" t="s">
        <v>881</v>
      </c>
      <c r="B4" s="23"/>
      <c r="C4" s="23"/>
      <c r="D4" s="23"/>
      <c r="E4" s="23"/>
      <c r="F4" s="23"/>
      <c r="G4" s="23"/>
      <c r="H4" s="73"/>
      <c r="I4" s="74" t="s">
        <v>881</v>
      </c>
      <c r="J4" s="23"/>
      <c r="K4" s="23"/>
      <c r="L4" s="23"/>
      <c r="M4" s="23"/>
      <c r="N4" s="23"/>
      <c r="O4" s="23"/>
      <c r="P4" s="23"/>
      <c r="R4" s="131" t="s">
        <v>39</v>
      </c>
    </row>
    <row r="5" spans="1:41">
      <c r="A5" s="76"/>
      <c r="B5" s="77"/>
      <c r="C5" s="77"/>
      <c r="D5" s="77"/>
      <c r="E5" s="77"/>
      <c r="F5" s="77"/>
      <c r="G5" s="77"/>
      <c r="H5" s="77"/>
      <c r="I5" s="78"/>
      <c r="L5" s="79"/>
      <c r="P5" s="76"/>
    </row>
    <row r="6" spans="1:41" s="85" customFormat="1" ht="12">
      <c r="A6" s="80"/>
      <c r="B6" s="81" t="s">
        <v>207</v>
      </c>
      <c r="C6" s="81"/>
      <c r="D6" s="81"/>
      <c r="E6" s="81"/>
      <c r="F6" s="81"/>
      <c r="G6" s="81"/>
      <c r="H6" s="82"/>
      <c r="I6" s="80"/>
      <c r="J6" s="81" t="s">
        <v>207</v>
      </c>
      <c r="K6" s="81"/>
      <c r="L6" s="81"/>
      <c r="M6" s="81"/>
      <c r="N6" s="81"/>
      <c r="O6" s="81"/>
      <c r="P6" s="82"/>
      <c r="Q6" s="83"/>
      <c r="R6" s="84"/>
    </row>
    <row r="7" spans="1:41" s="85" customFormat="1" ht="12">
      <c r="A7" s="80"/>
      <c r="B7" s="81" t="s">
        <v>208</v>
      </c>
      <c r="C7" s="81"/>
      <c r="D7" s="653" t="s">
        <v>209</v>
      </c>
      <c r="E7" s="654"/>
      <c r="F7" s="654"/>
      <c r="G7" s="654"/>
      <c r="H7" s="86" t="s">
        <v>39</v>
      </c>
      <c r="I7" s="80"/>
      <c r="J7" s="81" t="s">
        <v>208</v>
      </c>
      <c r="K7" s="81"/>
      <c r="L7" s="653" t="s">
        <v>209</v>
      </c>
      <c r="M7" s="654"/>
      <c r="N7" s="654"/>
      <c r="O7" s="654"/>
      <c r="P7" s="86" t="s">
        <v>39</v>
      </c>
      <c r="Q7" s="83"/>
      <c r="R7" s="84"/>
    </row>
    <row r="8" spans="1:41" s="85" customFormat="1" ht="40.5" customHeight="1">
      <c r="A8" s="80"/>
      <c r="B8" s="87" t="s">
        <v>210</v>
      </c>
      <c r="C8" s="88" t="s">
        <v>211</v>
      </c>
      <c r="D8" s="89" t="s">
        <v>212</v>
      </c>
      <c r="E8" s="90" t="s">
        <v>7</v>
      </c>
      <c r="F8" s="87" t="s">
        <v>213</v>
      </c>
      <c r="G8" s="91" t="s">
        <v>214</v>
      </c>
      <c r="H8" s="92" t="s">
        <v>215</v>
      </c>
      <c r="I8" s="80"/>
      <c r="J8" s="87" t="s">
        <v>210</v>
      </c>
      <c r="K8" s="88" t="s">
        <v>211</v>
      </c>
      <c r="L8" s="89" t="s">
        <v>212</v>
      </c>
      <c r="M8" s="90" t="s">
        <v>7</v>
      </c>
      <c r="N8" s="87" t="s">
        <v>213</v>
      </c>
      <c r="O8" s="91" t="s">
        <v>214</v>
      </c>
      <c r="P8" s="92" t="s">
        <v>215</v>
      </c>
      <c r="Q8" s="111" t="s">
        <v>216</v>
      </c>
      <c r="R8" s="111" t="s">
        <v>216</v>
      </c>
      <c r="T8" s="111"/>
    </row>
    <row r="9" spans="1:41" ht="15.75" customHeight="1">
      <c r="A9" s="95" t="s">
        <v>175</v>
      </c>
      <c r="B9" s="120">
        <f>('Pivot Table for Data Exchange'!$J$7)*100</f>
        <v>87.78286191030908</v>
      </c>
      <c r="C9" s="96">
        <f>('Pivot Table for Data Exchange'!$J$10)*100</f>
        <v>0.45586446002950393</v>
      </c>
      <c r="D9" s="148">
        <f>SUM(E9:G9)</f>
        <v>11.761273629661424</v>
      </c>
      <c r="E9" s="96">
        <f>('Pivot Table for Data Exchange'!$J$13)*100</f>
        <v>11.519931889698759</v>
      </c>
      <c r="F9" s="96">
        <f>('Pivot Table for Data Exchange'!$J$16)*100</f>
        <v>9.3410263588867656E-2</v>
      </c>
      <c r="G9" s="97">
        <f>('Pivot Table for Data Exchange'!$J$19)*100</f>
        <v>0.14793147637379767</v>
      </c>
      <c r="H9" s="98">
        <f>('Pivot Table for Data Exchange'!$J$22)*100</f>
        <v>0</v>
      </c>
      <c r="I9" s="99" t="s">
        <v>175</v>
      </c>
      <c r="J9" s="96">
        <f>('Pivot Table for Data Exchange'!$J$25)*100</f>
        <v>69.512512214454375</v>
      </c>
      <c r="K9" s="96">
        <f>('Pivot Table for Data Exchange'!$J$28)*100</f>
        <v>2.6689369126053171</v>
      </c>
      <c r="L9" s="603">
        <f>SUM(M9:O9)</f>
        <v>27.818550872940314</v>
      </c>
      <c r="M9" s="96">
        <f>('Pivot Table for Data Exchange'!$J$31)*100</f>
        <v>25.167018247241522</v>
      </c>
      <c r="N9" s="96">
        <f>('Pivot Table for Data Exchange'!$J$34)*100</f>
        <v>0.1126036393831753</v>
      </c>
      <c r="O9" s="97">
        <f>('Pivot Table for Data Exchange'!$J$37)*100</f>
        <v>2.5389289863156175</v>
      </c>
      <c r="P9" s="96">
        <f>('Pivot Table for Data Exchange'!$J$40)*100</f>
        <v>0</v>
      </c>
      <c r="Q9" s="135">
        <f>SUM(B9,C9,D9,H9)</f>
        <v>100</v>
      </c>
      <c r="R9" s="135">
        <f>SUM(J9,K9,L9,P9)</f>
        <v>100</v>
      </c>
      <c r="S9" s="136"/>
      <c r="T9" s="137"/>
      <c r="U9" s="137"/>
      <c r="V9" s="137"/>
      <c r="W9" s="137"/>
      <c r="X9" s="137"/>
      <c r="Y9" s="137"/>
      <c r="Z9" s="137"/>
      <c r="AA9" s="137"/>
      <c r="AB9" s="137"/>
      <c r="AC9" s="137"/>
      <c r="AD9" s="137"/>
      <c r="AE9" s="137"/>
      <c r="AF9" s="136"/>
      <c r="AG9" s="136"/>
      <c r="AH9" s="136"/>
      <c r="AI9" s="136"/>
      <c r="AJ9" s="136"/>
      <c r="AK9" s="136"/>
      <c r="AL9" s="136"/>
      <c r="AM9" s="136"/>
      <c r="AN9" s="136"/>
      <c r="AO9" s="136"/>
    </row>
    <row r="10" spans="1:41" ht="15.75" customHeight="1">
      <c r="A10" s="102" t="s">
        <v>176</v>
      </c>
      <c r="B10" s="96">
        <f>('Pivot Table for Data Exchange'!$J$43)*100</f>
        <v>83.95291844403917</v>
      </c>
      <c r="C10" s="96">
        <f>('Pivot Table for Data Exchange'!$J$46)*100</f>
        <v>3.9114631078517066</v>
      </c>
      <c r="D10" s="148">
        <f t="shared" ref="D10:D15" si="0">SUM(E10:G10)</f>
        <v>11.758857468453051</v>
      </c>
      <c r="E10" s="96">
        <f>('Pivot Table for Data Exchange'!$J$49)*100</f>
        <v>11.127433974770193</v>
      </c>
      <c r="F10" s="96">
        <f>('Pivot Table for Data Exchange'!$J$52)*100</f>
        <v>0.62371966192291517</v>
      </c>
      <c r="G10" s="105">
        <f>('Pivot Table for Data Exchange'!$J$55)*100</f>
        <v>7.7038317599427879E-3</v>
      </c>
      <c r="H10" s="104">
        <f>('Pivot Table for Data Exchange'!$J$58)*100</f>
        <v>0.37676097965606992</v>
      </c>
      <c r="I10" s="102" t="s">
        <v>176</v>
      </c>
      <c r="J10" s="96">
        <f>('Pivot Table for Data Exchange'!$J$61)*100</f>
        <v>53.616586764769778</v>
      </c>
      <c r="K10" s="96">
        <f>('Pivot Table for Data Exchange'!$J$64)*100</f>
        <v>7.3656996364584391</v>
      </c>
      <c r="L10" s="603">
        <f t="shared" ref="L10:L15" si="1">SUM(M10:O10)</f>
        <v>39.017713598771778</v>
      </c>
      <c r="M10" s="96">
        <f>('Pivot Table for Data Exchange'!$J$67)*100</f>
        <v>37.514302680937966</v>
      </c>
      <c r="N10" s="96">
        <f>('Pivot Table for Data Exchange'!$J$70)*100</f>
        <v>1.0417421027475631</v>
      </c>
      <c r="O10" s="103">
        <f>('Pivot Table for Data Exchange'!$J$73)*100</f>
        <v>0.46166881508625063</v>
      </c>
      <c r="P10" s="104">
        <f>('Pivot Table for Data Exchange'!$J$76)*100</f>
        <v>0</v>
      </c>
      <c r="Q10" s="135">
        <f>SUM(B10,C10,D10,H10)</f>
        <v>100</v>
      </c>
      <c r="R10" s="135">
        <f t="shared" ref="R10:R23" si="2">SUM(J10,K10,L10,P10)</f>
        <v>100</v>
      </c>
      <c r="S10" s="136"/>
      <c r="T10" s="137"/>
      <c r="U10" s="137"/>
      <c r="V10" s="137"/>
      <c r="W10" s="137"/>
      <c r="X10" s="137"/>
      <c r="Y10" s="137"/>
      <c r="Z10" s="137"/>
      <c r="AA10" s="137"/>
      <c r="AB10" s="137"/>
      <c r="AC10" s="137"/>
      <c r="AD10" s="137"/>
      <c r="AE10" s="137"/>
      <c r="AF10" s="136"/>
      <c r="AG10" s="136"/>
      <c r="AH10" s="136"/>
      <c r="AI10" s="136"/>
      <c r="AJ10" s="136"/>
      <c r="AK10" s="136"/>
      <c r="AL10" s="136"/>
      <c r="AM10" s="136"/>
      <c r="AN10" s="136"/>
      <c r="AO10" s="136"/>
    </row>
    <row r="11" spans="1:41" ht="15.75" customHeight="1">
      <c r="A11" s="102" t="s">
        <v>177</v>
      </c>
      <c r="B11" s="96">
        <f>('Pivot Table for Data Exchange'!$J$79)*100</f>
        <v>97.203972643322345</v>
      </c>
      <c r="C11" s="96">
        <f>('Pivot Table for Data Exchange'!$J$82)*100</f>
        <v>0</v>
      </c>
      <c r="D11" s="148">
        <f t="shared" si="0"/>
        <v>2.7960273566776559</v>
      </c>
      <c r="E11" s="96">
        <f>('Pivot Table for Data Exchange'!$J$85)*100</f>
        <v>2.7960273566776559</v>
      </c>
      <c r="F11" s="96">
        <f>('Pivot Table for Data Exchange'!$J$88)*100</f>
        <v>0</v>
      </c>
      <c r="G11" s="103">
        <f>('Pivot Table for Data Exchange'!$J$91)*100</f>
        <v>0</v>
      </c>
      <c r="H11" s="96">
        <f>('Pivot Table for Data Exchange'!$J$94)*100</f>
        <v>0</v>
      </c>
      <c r="I11" s="102" t="s">
        <v>177</v>
      </c>
      <c r="J11" s="96">
        <f>('Pivot Table for Data Exchange'!$J$97)*100</f>
        <v>89.836643329999518</v>
      </c>
      <c r="K11" s="96">
        <f>('Pivot Table for Data Exchange'!$J$100)*100</f>
        <v>0</v>
      </c>
      <c r="L11" s="603">
        <f t="shared" si="1"/>
        <v>10.163356670000475</v>
      </c>
      <c r="M11" s="96">
        <f>('Pivot Table for Data Exchange'!$J$103)*100</f>
        <v>10.163356670000475</v>
      </c>
      <c r="N11" s="96">
        <f>('Pivot Table for Data Exchange'!$J$106)*100</f>
        <v>0</v>
      </c>
      <c r="O11" s="103">
        <f>('Pivot Table for Data Exchange'!$J$109)*100</f>
        <v>0</v>
      </c>
      <c r="P11" s="96">
        <f>('Pivot Table for Data Exchange'!$J$112)*100</f>
        <v>0</v>
      </c>
      <c r="Q11" s="135">
        <f t="shared" ref="Q11:Q23" si="3">SUM(B11,C11,D11,H11)</f>
        <v>100</v>
      </c>
      <c r="R11" s="135">
        <f t="shared" si="2"/>
        <v>100</v>
      </c>
      <c r="S11" s="136"/>
      <c r="T11" s="137"/>
      <c r="U11" s="137"/>
      <c r="V11" s="137"/>
      <c r="W11" s="137"/>
      <c r="X11" s="137"/>
      <c r="Y11" s="137"/>
      <c r="Z11" s="137"/>
      <c r="AA11" s="137"/>
      <c r="AB11" s="137"/>
      <c r="AC11" s="137"/>
      <c r="AD11" s="137"/>
      <c r="AE11" s="137"/>
      <c r="AF11" s="136"/>
      <c r="AG11" s="136"/>
      <c r="AH11" s="136"/>
      <c r="AI11" s="136"/>
      <c r="AJ11" s="136"/>
      <c r="AK11" s="136"/>
      <c r="AL11" s="136"/>
      <c r="AM11" s="136"/>
      <c r="AN11" s="136"/>
      <c r="AO11" s="136"/>
    </row>
    <row r="12" spans="1:41" ht="15.75" customHeight="1">
      <c r="A12" s="102" t="s">
        <v>217</v>
      </c>
      <c r="B12" s="96">
        <f>('Pivot Table for Data Exchange'!$J$115)*100</f>
        <v>73.772270868904585</v>
      </c>
      <c r="C12" s="96">
        <f>('Pivot Table for Data Exchange'!$J$118)*100</f>
        <v>7.8853922454229481</v>
      </c>
      <c r="D12" s="148">
        <f t="shared" si="0"/>
        <v>18.258055420667613</v>
      </c>
      <c r="E12" s="96">
        <f>('Pivot Table for Data Exchange'!$J$121)*100</f>
        <v>16.799330259628821</v>
      </c>
      <c r="F12" s="96">
        <f>('Pivot Table for Data Exchange'!$J$124)*100</f>
        <v>0</v>
      </c>
      <c r="G12" s="103">
        <f>('Pivot Table for Data Exchange'!$J$127)*100</f>
        <v>1.4587251610387937</v>
      </c>
      <c r="H12" s="96">
        <f>('Pivot Table for Data Exchange'!$J$130)*100</f>
        <v>8.4281465004847261E-2</v>
      </c>
      <c r="I12" s="102" t="s">
        <v>217</v>
      </c>
      <c r="J12" s="96">
        <f>('Pivot Table for Data Exchange'!$J$133)*100</f>
        <v>70.16967839446778</v>
      </c>
      <c r="K12" s="96">
        <f>('Pivot Table for Data Exchange'!$J$136)*100</f>
        <v>8.5135253737005563</v>
      </c>
      <c r="L12" s="603">
        <f t="shared" si="1"/>
        <v>21.316796231831656</v>
      </c>
      <c r="M12" s="96">
        <f>('Pivot Table for Data Exchange'!$J$139)*100</f>
        <v>20.349031203627423</v>
      </c>
      <c r="N12" s="96">
        <f>('Pivot Table for Data Exchange'!$J$142)*100</f>
        <v>0</v>
      </c>
      <c r="O12" s="103">
        <f>('Pivot Table for Data Exchange'!$J$145)*100</f>
        <v>0.96776502820423527</v>
      </c>
      <c r="P12" s="96">
        <f>('Pivot Table for Data Exchange'!$J$148)*100</f>
        <v>0</v>
      </c>
      <c r="Q12" s="135">
        <f t="shared" si="3"/>
        <v>100</v>
      </c>
      <c r="R12" s="135">
        <f t="shared" si="2"/>
        <v>100</v>
      </c>
      <c r="S12" s="136"/>
      <c r="T12" s="137"/>
      <c r="U12" s="137"/>
      <c r="V12" s="137"/>
      <c r="W12" s="137"/>
      <c r="X12" s="137"/>
      <c r="Y12" s="137"/>
      <c r="Z12" s="137"/>
      <c r="AA12" s="137"/>
      <c r="AB12" s="137"/>
      <c r="AC12" s="137"/>
      <c r="AD12" s="137"/>
      <c r="AE12" s="137"/>
      <c r="AF12" s="136"/>
      <c r="AG12" s="136"/>
      <c r="AH12" s="136"/>
      <c r="AI12" s="136"/>
      <c r="AJ12" s="136"/>
      <c r="AK12" s="136"/>
      <c r="AL12" s="136"/>
      <c r="AM12" s="136"/>
      <c r="AN12" s="136"/>
      <c r="AO12" s="136"/>
    </row>
    <row r="13" spans="1:41" ht="9.75" customHeight="1">
      <c r="A13" s="102"/>
      <c r="B13" s="96"/>
      <c r="C13" s="96"/>
      <c r="D13" s="148"/>
      <c r="E13" s="96"/>
      <c r="F13" s="96"/>
      <c r="G13" s="103"/>
      <c r="H13" s="96"/>
      <c r="I13" s="102"/>
      <c r="J13" s="96"/>
      <c r="K13" s="96"/>
      <c r="L13" s="603"/>
      <c r="M13" s="96"/>
      <c r="N13" s="96"/>
      <c r="O13" s="103"/>
      <c r="P13" s="96"/>
      <c r="Q13" s="135">
        <f t="shared" si="3"/>
        <v>0</v>
      </c>
      <c r="R13" s="135">
        <f t="shared" si="2"/>
        <v>0</v>
      </c>
      <c r="S13" s="136"/>
      <c r="T13" s="137"/>
      <c r="U13" s="137"/>
      <c r="V13" s="137"/>
      <c r="W13" s="137"/>
      <c r="X13" s="137"/>
      <c r="Y13" s="137"/>
      <c r="Z13" s="137"/>
      <c r="AA13" s="137"/>
      <c r="AB13" s="137"/>
      <c r="AC13" s="137"/>
      <c r="AD13" s="137"/>
      <c r="AE13" s="137"/>
      <c r="AF13" s="136"/>
      <c r="AG13" s="136"/>
      <c r="AH13" s="136"/>
      <c r="AI13" s="136"/>
      <c r="AJ13" s="136"/>
      <c r="AK13" s="136"/>
      <c r="AL13" s="136"/>
      <c r="AM13" s="136"/>
      <c r="AN13" s="136"/>
      <c r="AO13" s="136"/>
    </row>
    <row r="14" spans="1:41" ht="15.75" customHeight="1">
      <c r="A14" s="102" t="s">
        <v>179</v>
      </c>
      <c r="B14" s="96">
        <f>('Pivot Table for Data Exchange'!$J$151)*100</f>
        <v>0</v>
      </c>
      <c r="C14" s="96">
        <f>('Pivot Table for Data Exchange'!$J$154)*100</f>
        <v>0</v>
      </c>
      <c r="D14" s="148">
        <f t="shared" si="0"/>
        <v>0</v>
      </c>
      <c r="E14" s="96">
        <f>('Pivot Table for Data Exchange'!$J$157)*100</f>
        <v>0</v>
      </c>
      <c r="F14" s="96">
        <f>('Pivot Table for Data Exchange'!$J$160)*100</f>
        <v>0</v>
      </c>
      <c r="G14" s="103">
        <f>('Pivot Table for Data Exchange'!$J$163)*100</f>
        <v>0</v>
      </c>
      <c r="H14" s="104">
        <f>('Pivot Table for Data Exchange'!$J$166)*100</f>
        <v>0</v>
      </c>
      <c r="I14" s="102" t="s">
        <v>179</v>
      </c>
      <c r="J14" s="96">
        <f>('Pivot Table for Data Exchange'!$J$169)*100</f>
        <v>0</v>
      </c>
      <c r="K14" s="96">
        <f>('Pivot Table for Data Exchange'!$J$172)*100</f>
        <v>0</v>
      </c>
      <c r="L14" s="603">
        <f t="shared" si="1"/>
        <v>0</v>
      </c>
      <c r="M14" s="96">
        <f>('Pivot Table for Data Exchange'!$J$175)*100</f>
        <v>0</v>
      </c>
      <c r="N14" s="96">
        <f>('Pivot Table for Data Exchange'!$J$178)*100</f>
        <v>0</v>
      </c>
      <c r="O14" s="105">
        <f>('Pivot Table for Data Exchange'!$J$181)*100</f>
        <v>0</v>
      </c>
      <c r="P14" s="98">
        <f>('Pivot Table for Data Exchange'!$J$184)*100</f>
        <v>0</v>
      </c>
      <c r="Q14" s="135">
        <f t="shared" si="3"/>
        <v>0</v>
      </c>
      <c r="R14" s="135">
        <f t="shared" si="2"/>
        <v>0</v>
      </c>
      <c r="S14" s="136"/>
      <c r="T14" s="137"/>
      <c r="U14" s="137"/>
      <c r="V14" s="137"/>
      <c r="W14" s="137"/>
      <c r="X14" s="137"/>
      <c r="Y14" s="137"/>
      <c r="Z14" s="137"/>
      <c r="AA14" s="137"/>
      <c r="AB14" s="137"/>
      <c r="AC14" s="137"/>
      <c r="AD14" s="137"/>
      <c r="AE14" s="137"/>
      <c r="AF14" s="136"/>
      <c r="AG14" s="136"/>
      <c r="AH14" s="136"/>
      <c r="AI14" s="136"/>
      <c r="AJ14" s="136"/>
      <c r="AK14" s="136"/>
      <c r="AL14" s="136"/>
      <c r="AM14" s="136"/>
      <c r="AN14" s="136"/>
      <c r="AO14" s="136"/>
    </row>
    <row r="15" spans="1:41" ht="15.75" customHeight="1">
      <c r="A15" s="102" t="s">
        <v>180</v>
      </c>
      <c r="B15" s="96">
        <f>('Pivot Table for Data Exchange'!$J$187)*100</f>
        <v>84.299671008092787</v>
      </c>
      <c r="C15" s="96">
        <f>('Pivot Table for Data Exchange'!$J$190)*100</f>
        <v>4.6265344054687638</v>
      </c>
      <c r="D15" s="148">
        <f t="shared" si="0"/>
        <v>11.073794586438456</v>
      </c>
      <c r="E15" s="96">
        <f>('Pivot Table for Data Exchange'!$J$193)*100</f>
        <v>9.5987295384436493</v>
      </c>
      <c r="F15" s="96">
        <f>('Pivot Table for Data Exchange'!$J$196)*100</f>
        <v>1.4006251483631238</v>
      </c>
      <c r="G15" s="103">
        <f>('Pivot Table for Data Exchange'!$J$199)*100</f>
        <v>7.4439899631682821E-2</v>
      </c>
      <c r="H15" s="96">
        <f>('Pivot Table for Data Exchange'!$J$202)*100</f>
        <v>0</v>
      </c>
      <c r="I15" s="102" t="s">
        <v>180</v>
      </c>
      <c r="J15" s="96">
        <f>('Pivot Table for Data Exchange'!$J$205)*100</f>
        <v>68.344099143344707</v>
      </c>
      <c r="K15" s="96">
        <f>('Pivot Table for Data Exchange'!$J$208)*100</f>
        <v>4.0745656491063498</v>
      </c>
      <c r="L15" s="603">
        <f t="shared" si="1"/>
        <v>27.581335207548943</v>
      </c>
      <c r="M15" s="96">
        <f>('Pivot Table for Data Exchange'!$J$211)*100</f>
        <v>25.766520445534884</v>
      </c>
      <c r="N15" s="96">
        <f>('Pivot Table for Data Exchange'!$J$214)*100</f>
        <v>1.8019841784648636</v>
      </c>
      <c r="O15" s="105">
        <f>('Pivot Table for Data Exchange'!$J$217)*100</f>
        <v>1.283058354919602E-2</v>
      </c>
      <c r="P15" s="96">
        <f>('Pivot Table for Data Exchange'!$J$220)*100</f>
        <v>0</v>
      </c>
      <c r="Q15" s="135">
        <f t="shared" si="3"/>
        <v>100</v>
      </c>
      <c r="R15" s="135">
        <f t="shared" si="2"/>
        <v>100</v>
      </c>
      <c r="S15" s="136"/>
      <c r="T15" s="137"/>
      <c r="U15" s="137"/>
      <c r="V15" s="137"/>
      <c r="W15" s="137"/>
      <c r="X15" s="137"/>
      <c r="Y15" s="137"/>
      <c r="Z15" s="137"/>
      <c r="AA15" s="137"/>
      <c r="AB15" s="137"/>
      <c r="AC15" s="137"/>
      <c r="AD15" s="137"/>
      <c r="AE15" s="137"/>
      <c r="AF15" s="136"/>
      <c r="AG15" s="136"/>
      <c r="AH15" s="136"/>
      <c r="AI15" s="136"/>
      <c r="AJ15" s="136"/>
      <c r="AK15" s="136"/>
      <c r="AL15" s="136"/>
      <c r="AM15" s="136"/>
      <c r="AN15" s="136"/>
      <c r="AO15" s="136"/>
    </row>
    <row r="16" spans="1:41" ht="15.75" customHeight="1">
      <c r="A16" s="598" t="s">
        <v>181</v>
      </c>
      <c r="B16" s="96">
        <f>('Pivot Table for Data Exchange'!$J$223)*100</f>
        <v>0</v>
      </c>
      <c r="C16" s="96">
        <f>('Pivot Table for Data Exchange'!$J$226)*100</f>
        <v>0</v>
      </c>
      <c r="D16" s="148">
        <f>SUM(E16:G16)</f>
        <v>0</v>
      </c>
      <c r="E16" s="96">
        <f>('Pivot Table for Data Exchange'!$J$229)*100</f>
        <v>0</v>
      </c>
      <c r="F16" s="96">
        <f>('Pivot Table for Data Exchange'!$J$232)*100</f>
        <v>0</v>
      </c>
      <c r="G16" s="103">
        <f>('Pivot Table for Data Exchange'!$J$235)*100</f>
        <v>0</v>
      </c>
      <c r="H16" s="96">
        <f>('Pivot Table for Data Exchange'!$J$238)*100</f>
        <v>0</v>
      </c>
      <c r="I16" s="598" t="s">
        <v>181</v>
      </c>
      <c r="J16" s="96">
        <f>('Pivot Table for Data Exchange'!$J$241)*100</f>
        <v>0</v>
      </c>
      <c r="K16" s="96">
        <f>('Pivot Table for Data Exchange'!$J$244)*100</f>
        <v>0</v>
      </c>
      <c r="L16" s="603">
        <f>SUM(M16:O16)</f>
        <v>0</v>
      </c>
      <c r="M16" s="96">
        <f>('Pivot Table for Data Exchange'!$J$247)*100</f>
        <v>0</v>
      </c>
      <c r="N16" s="96">
        <f>('Pivot Table for Data Exchange'!$J$250)*100</f>
        <v>0</v>
      </c>
      <c r="O16" s="105">
        <f>('Pivot Table for Data Exchange'!$J$253)*100</f>
        <v>0</v>
      </c>
      <c r="P16" s="96">
        <f>('Pivot Table for Data Exchange'!$J$256)*100</f>
        <v>0</v>
      </c>
      <c r="Q16" s="135">
        <f>SUM(B16,C16,D16,H16)</f>
        <v>0</v>
      </c>
      <c r="R16" s="135">
        <f>SUM(J16,K16,L16,P16)</f>
        <v>0</v>
      </c>
      <c r="S16" s="136"/>
      <c r="T16" s="137"/>
      <c r="U16" s="137"/>
      <c r="V16" s="137"/>
      <c r="W16" s="137"/>
      <c r="X16" s="137"/>
      <c r="Y16" s="137"/>
      <c r="Z16" s="137"/>
      <c r="AA16" s="137"/>
      <c r="AB16" s="137"/>
      <c r="AC16" s="137"/>
      <c r="AD16" s="137"/>
      <c r="AE16" s="137"/>
      <c r="AF16" s="136"/>
      <c r="AG16" s="136"/>
      <c r="AH16" s="136"/>
      <c r="AI16" s="136"/>
      <c r="AJ16" s="136"/>
      <c r="AK16" s="136"/>
      <c r="AL16" s="136"/>
      <c r="AM16" s="136"/>
      <c r="AN16" s="136"/>
      <c r="AO16" s="136"/>
    </row>
    <row r="17" spans="1:41" ht="15.75" customHeight="1">
      <c r="A17" s="102" t="s">
        <v>218</v>
      </c>
      <c r="B17" s="96">
        <f>('Pivot Table for Data Exchange'!$J$259)*100</f>
        <v>79.005568594876038</v>
      </c>
      <c r="C17" s="96">
        <f>('Pivot Table for Data Exchange'!$J$262)*100</f>
        <v>2.7222482577847007</v>
      </c>
      <c r="D17" s="148">
        <f>SUM(E17:G17)</f>
        <v>18.272183147339256</v>
      </c>
      <c r="E17" s="96">
        <f>('Pivot Table for Data Exchange'!$J$265)*100</f>
        <v>18.183107599352592</v>
      </c>
      <c r="F17" s="104">
        <f>('Pivot Table for Data Exchange'!$J$268)*100</f>
        <v>8.9075547986664838E-2</v>
      </c>
      <c r="G17" s="105">
        <f>('Pivot Table for Data Exchange'!$J$271)*100</f>
        <v>0</v>
      </c>
      <c r="H17" s="96">
        <f>('Pivot Table for Data Exchange'!$J$274)*100</f>
        <v>0</v>
      </c>
      <c r="I17" s="102" t="s">
        <v>218</v>
      </c>
      <c r="J17" s="96">
        <f>('Pivot Table for Data Exchange'!$J$277)*100</f>
        <v>49.931684774525166</v>
      </c>
      <c r="K17" s="96">
        <f>('Pivot Table for Data Exchange'!$J$280)*100</f>
        <v>9.8609136599319953</v>
      </c>
      <c r="L17" s="603">
        <f>SUM(M17:O17)</f>
        <v>40.207401565542838</v>
      </c>
      <c r="M17" s="96">
        <f>('Pivot Table for Data Exchange'!$J$283)*100</f>
        <v>39.504187117996828</v>
      </c>
      <c r="N17" s="96">
        <f>('Pivot Table for Data Exchange'!$J$286)*100</f>
        <v>0.70321444754601337</v>
      </c>
      <c r="O17" s="103">
        <f>('Pivot Table for Data Exchange'!$J$289)*100</f>
        <v>0</v>
      </c>
      <c r="P17" s="96">
        <f>('Pivot Table for Data Exchange'!$J$292)*100</f>
        <v>0</v>
      </c>
      <c r="Q17" s="135">
        <f>SUM(B17,C17,D17,H17)</f>
        <v>100</v>
      </c>
      <c r="R17" s="135">
        <f>SUM(J17,K17,L17,P17)</f>
        <v>100</v>
      </c>
      <c r="S17" s="136"/>
      <c r="T17" s="137"/>
      <c r="U17" s="137"/>
      <c r="V17" s="137"/>
      <c r="W17" s="137"/>
      <c r="X17" s="137"/>
      <c r="Y17" s="137"/>
      <c r="Z17" s="137"/>
      <c r="AA17" s="137"/>
      <c r="AB17" s="137"/>
      <c r="AC17" s="137"/>
      <c r="AD17" s="137"/>
      <c r="AE17" s="137"/>
      <c r="AF17" s="136"/>
      <c r="AG17" s="136"/>
      <c r="AH17" s="136"/>
      <c r="AI17" s="136"/>
      <c r="AJ17" s="136"/>
      <c r="AK17" s="136"/>
      <c r="AL17" s="136"/>
      <c r="AM17" s="136"/>
      <c r="AN17" s="136"/>
      <c r="AO17" s="136"/>
    </row>
    <row r="18" spans="1:41" ht="11.25" customHeight="1">
      <c r="A18" s="102"/>
      <c r="B18" s="96"/>
      <c r="C18" s="96"/>
      <c r="D18" s="148"/>
      <c r="E18" s="96"/>
      <c r="F18" s="96"/>
      <c r="G18" s="103"/>
      <c r="H18" s="96"/>
      <c r="I18" s="102"/>
      <c r="J18" s="96"/>
      <c r="K18" s="96"/>
      <c r="L18" s="603"/>
      <c r="M18" s="96"/>
      <c r="N18" s="96"/>
      <c r="O18" s="103"/>
      <c r="P18" s="96"/>
      <c r="Q18" s="135">
        <f t="shared" si="3"/>
        <v>0</v>
      </c>
      <c r="R18" s="135">
        <f t="shared" si="2"/>
        <v>0</v>
      </c>
      <c r="S18" s="136"/>
      <c r="T18" s="137"/>
      <c r="U18" s="137"/>
      <c r="V18" s="137"/>
      <c r="W18" s="137"/>
      <c r="X18" s="137"/>
      <c r="Y18" s="137"/>
      <c r="Z18" s="137"/>
      <c r="AA18" s="137"/>
      <c r="AB18" s="137"/>
      <c r="AC18" s="137"/>
      <c r="AD18" s="137"/>
      <c r="AE18" s="137"/>
      <c r="AF18" s="136"/>
      <c r="AG18" s="136"/>
      <c r="AH18" s="136"/>
      <c r="AI18" s="136"/>
      <c r="AJ18" s="136"/>
      <c r="AK18" s="136"/>
      <c r="AL18" s="136"/>
      <c r="AM18" s="136"/>
      <c r="AN18" s="136"/>
      <c r="AO18" s="136"/>
    </row>
    <row r="19" spans="1:41" ht="15.75" customHeight="1">
      <c r="A19" s="102" t="s">
        <v>183</v>
      </c>
      <c r="B19" s="96">
        <f>('Pivot Table for Data Exchange'!$J$295)*100</f>
        <v>85.844021326103345</v>
      </c>
      <c r="C19" s="96">
        <f>('Pivot Table for Data Exchange'!$J$298)*100</f>
        <v>5.1133352699360044</v>
      </c>
      <c r="D19" s="148">
        <f>SUM(E19:G19)</f>
        <v>8.9935828029682838</v>
      </c>
      <c r="E19" s="96">
        <f>('Pivot Table for Data Exchange'!$J$301)*100</f>
        <v>8.4482824388282971</v>
      </c>
      <c r="F19" s="96">
        <f>('Pivot Table for Data Exchange'!$J$304)*100</f>
        <v>0.52153296772622315</v>
      </c>
      <c r="G19" s="105">
        <f>('Pivot Table for Data Exchange'!$J$307)*100</f>
        <v>2.3767396413763964E-2</v>
      </c>
      <c r="H19" s="104">
        <f>('Pivot Table for Data Exchange'!$J$310)*100</f>
        <v>4.9060600992362161E-2</v>
      </c>
      <c r="I19" s="102" t="s">
        <v>183</v>
      </c>
      <c r="J19" s="96">
        <f>('Pivot Table for Data Exchange'!$J$313)*100</f>
        <v>72.456891216198471</v>
      </c>
      <c r="K19" s="96">
        <f>('Pivot Table for Data Exchange'!$J$316)*100</f>
        <v>6.0643002629476399</v>
      </c>
      <c r="L19" s="603">
        <f>SUM(M19:O19)</f>
        <v>21.478808520853885</v>
      </c>
      <c r="M19" s="96">
        <f>('Pivot Table for Data Exchange'!$J$319)*100</f>
        <v>20.533922496089545</v>
      </c>
      <c r="N19" s="96">
        <f>('Pivot Table for Data Exchange'!$J$322)*100</f>
        <v>0.85448605177180192</v>
      </c>
      <c r="O19" s="103">
        <f>('Pivot Table for Data Exchange'!$J$325)*100</f>
        <v>9.0399972992539185E-2</v>
      </c>
      <c r="P19" s="98">
        <f>('Pivot Table for Data Exchange'!$J$328)*100</f>
        <v>0</v>
      </c>
      <c r="Q19" s="135">
        <f>SUM(B19,C19,D19,H19)</f>
        <v>100</v>
      </c>
      <c r="R19" s="135">
        <f>SUM(J19,K19,L19,P19)</f>
        <v>100</v>
      </c>
      <c r="S19" s="136"/>
      <c r="T19" s="137"/>
      <c r="U19" s="137"/>
      <c r="V19" s="137"/>
      <c r="W19" s="137"/>
      <c r="X19" s="137"/>
      <c r="Y19" s="137"/>
      <c r="Z19" s="137"/>
      <c r="AA19" s="137"/>
      <c r="AB19" s="137"/>
      <c r="AC19" s="137"/>
      <c r="AD19" s="137"/>
      <c r="AE19" s="137"/>
      <c r="AF19" s="136"/>
      <c r="AG19" s="136"/>
      <c r="AH19" s="136"/>
      <c r="AI19" s="136"/>
      <c r="AJ19" s="136"/>
      <c r="AK19" s="136"/>
      <c r="AL19" s="136"/>
      <c r="AM19" s="136"/>
      <c r="AN19" s="136"/>
      <c r="AO19" s="136"/>
    </row>
    <row r="20" spans="1:41" ht="15.75" customHeight="1">
      <c r="A20" s="102" t="s">
        <v>184</v>
      </c>
      <c r="B20" s="96">
        <f>('Pivot Table for Data Exchange'!$J$331)*100</f>
        <v>89.63676850478349</v>
      </c>
      <c r="C20" s="96">
        <f>('Pivot Table for Data Exchange'!$J$334)*100</f>
        <v>1.1832815741520115</v>
      </c>
      <c r="D20" s="148">
        <f>SUM(E20:G20)</f>
        <v>9.1799499210644946</v>
      </c>
      <c r="E20" s="96">
        <f>('Pivot Table for Data Exchange'!$J$337)*100</f>
        <v>9.1415586072344297</v>
      </c>
      <c r="F20" s="104">
        <f>('Pivot Table for Data Exchange'!$J$340)*100</f>
        <v>2.6835868822267846E-2</v>
      </c>
      <c r="G20" s="105">
        <f>('Pivot Table for Data Exchange'!$J$343)*100</f>
        <v>1.1555445007797422E-2</v>
      </c>
      <c r="H20" s="96">
        <f>('Pivot Table for Data Exchange'!$J$346)*100</f>
        <v>0</v>
      </c>
      <c r="I20" s="102" t="s">
        <v>184</v>
      </c>
      <c r="J20" s="96">
        <f>('Pivot Table for Data Exchange'!$J$349)*100</f>
        <v>74.930963744831161</v>
      </c>
      <c r="K20" s="96">
        <f>('Pivot Table for Data Exchange'!$J$352)*100</f>
        <v>6.569772770990701</v>
      </c>
      <c r="L20" s="603">
        <f>SUM(M20:O20)</f>
        <v>18.499263484178144</v>
      </c>
      <c r="M20" s="96">
        <f>('Pivot Table for Data Exchange'!$J$355)*100</f>
        <v>18.365386725674</v>
      </c>
      <c r="N20" s="96">
        <f>('Pivot Table for Data Exchange'!$J$358)*100</f>
        <v>0.10224724468204593</v>
      </c>
      <c r="O20" s="105">
        <f>('Pivot Table for Data Exchange'!$J$361)*100</f>
        <v>3.1629513822097541E-2</v>
      </c>
      <c r="P20" s="96">
        <f>('Pivot Table for Data Exchange'!$J$364)*100</f>
        <v>0</v>
      </c>
      <c r="Q20" s="135">
        <f>SUM(B20,C20,D20,H20)</f>
        <v>99.999999999999986</v>
      </c>
      <c r="R20" s="135">
        <f>SUM(J20,K20,L20,P20)</f>
        <v>100</v>
      </c>
      <c r="S20" s="136"/>
      <c r="T20" s="137"/>
      <c r="U20" s="137"/>
      <c r="V20" s="137"/>
      <c r="W20" s="137"/>
      <c r="X20" s="137"/>
      <c r="Y20" s="137"/>
      <c r="Z20" s="137"/>
      <c r="AA20" s="137"/>
      <c r="AB20" s="137"/>
      <c r="AC20" s="137"/>
      <c r="AD20" s="137"/>
      <c r="AE20" s="137"/>
      <c r="AF20" s="136"/>
      <c r="AG20" s="136"/>
      <c r="AH20" s="136"/>
      <c r="AI20" s="136"/>
      <c r="AJ20" s="136"/>
      <c r="AK20" s="136"/>
      <c r="AL20" s="136"/>
      <c r="AM20" s="136"/>
      <c r="AN20" s="136"/>
      <c r="AO20" s="136"/>
    </row>
    <row r="21" spans="1:41" ht="15.75" customHeight="1">
      <c r="A21" s="102" t="s">
        <v>185</v>
      </c>
      <c r="B21" s="96">
        <f>('Pivot Table for Data Exchange'!$J$367)*100</f>
        <v>84.848840837558853</v>
      </c>
      <c r="C21" s="96">
        <f>('Pivot Table for Data Exchange'!$J$370)*100</f>
        <v>0.99339314884046548</v>
      </c>
      <c r="D21" s="148">
        <f>SUM(E21:G21)</f>
        <v>14.127838769230117</v>
      </c>
      <c r="E21" s="96">
        <f>('Pivot Table for Data Exchange'!$J$373)*100</f>
        <v>11.815999009158375</v>
      </c>
      <c r="F21" s="96">
        <f>('Pivot Table for Data Exchange'!$J$376)*100</f>
        <v>1.7812823425537243</v>
      </c>
      <c r="G21" s="103">
        <f>('Pivot Table for Data Exchange'!$J$379)*100</f>
        <v>0.53055741751801611</v>
      </c>
      <c r="H21" s="104">
        <f>('Pivot Table for Data Exchange'!$J$382)*100</f>
        <v>2.9927244370568391E-2</v>
      </c>
      <c r="I21" s="102" t="s">
        <v>185</v>
      </c>
      <c r="J21" s="96">
        <f>('Pivot Table for Data Exchange'!$J$385)*100</f>
        <v>67.420279054778717</v>
      </c>
      <c r="K21" s="96">
        <f>('Pivot Table for Data Exchange'!$J$388)*100</f>
        <v>10.227141123570613</v>
      </c>
      <c r="L21" s="603">
        <f>SUM(M21:O21)</f>
        <v>22.352579821650661</v>
      </c>
      <c r="M21" s="96">
        <f>('Pivot Table for Data Exchange'!$J$391)*100</f>
        <v>15.276511966324099</v>
      </c>
      <c r="N21" s="96">
        <f>('Pivot Table for Data Exchange'!$J$394)*100</f>
        <v>4.5710199950654333</v>
      </c>
      <c r="O21" s="103">
        <f>('Pivot Table for Data Exchange'!$J$397)*100</f>
        <v>2.5050478602611292</v>
      </c>
      <c r="P21" s="96">
        <f>('Pivot Table for Data Exchange'!$J$400)*100</f>
        <v>0</v>
      </c>
      <c r="Q21" s="135">
        <f>SUM(B21,C21,D21,H21)</f>
        <v>100.00000000000001</v>
      </c>
      <c r="R21" s="135">
        <f>SUM(J21,K21,L21,P21)</f>
        <v>100</v>
      </c>
      <c r="S21" s="136"/>
      <c r="T21" s="137"/>
      <c r="U21" s="137"/>
      <c r="V21" s="137"/>
      <c r="W21" s="137"/>
      <c r="X21" s="137"/>
      <c r="Y21" s="137"/>
      <c r="Z21" s="137"/>
      <c r="AA21" s="137"/>
      <c r="AB21" s="137"/>
      <c r="AC21" s="137"/>
      <c r="AD21" s="137"/>
      <c r="AE21" s="137"/>
      <c r="AF21" s="136"/>
      <c r="AG21" s="136"/>
      <c r="AH21" s="136"/>
      <c r="AI21" s="136"/>
      <c r="AJ21" s="136"/>
      <c r="AK21" s="136"/>
      <c r="AL21" s="136"/>
      <c r="AM21" s="136"/>
      <c r="AN21" s="136"/>
      <c r="AO21" s="136"/>
    </row>
    <row r="22" spans="1:41" ht="15.75" customHeight="1">
      <c r="A22" s="102" t="s">
        <v>186</v>
      </c>
      <c r="B22" s="96">
        <f>('Pivot Table for Data Exchange'!$J$403)*100</f>
        <v>93.971015512191499</v>
      </c>
      <c r="C22" s="96">
        <f>('Pivot Table for Data Exchange'!$J$406)*100</f>
        <v>2.3792915467446671</v>
      </c>
      <c r="D22" s="148">
        <f>SUM(E22:G22)</f>
        <v>3.6496929410638326</v>
      </c>
      <c r="E22" s="96">
        <f>('Pivot Table for Data Exchange'!$J$409)*100</f>
        <v>3.4145188172515732</v>
      </c>
      <c r="F22" s="96">
        <f>('Pivot Table for Data Exchange'!$J$412)*100</f>
        <v>0.15342200234079928</v>
      </c>
      <c r="G22" s="103">
        <f>('Pivot Table for Data Exchange'!$J$415)*100</f>
        <v>8.1752121471460021E-2</v>
      </c>
      <c r="H22" s="96">
        <f>('Pivot Table for Data Exchange'!$J$418)*100</f>
        <v>0</v>
      </c>
      <c r="I22" s="102" t="s">
        <v>186</v>
      </c>
      <c r="J22" s="96">
        <f>('Pivot Table for Data Exchange'!$J$421)*100</f>
        <v>67.974246242446242</v>
      </c>
      <c r="K22" s="96">
        <f>('Pivot Table for Data Exchange'!$J$424)*100</f>
        <v>14.85118972725606</v>
      </c>
      <c r="L22" s="603">
        <f>SUM(M22:O22)</f>
        <v>17.174564030297692</v>
      </c>
      <c r="M22" s="96">
        <f>('Pivot Table for Data Exchange'!$J$427)*100</f>
        <v>16.333360894119846</v>
      </c>
      <c r="N22" s="104">
        <f>('Pivot Table for Data Exchange'!$J$430)*100</f>
        <v>6.2551002433737277E-2</v>
      </c>
      <c r="O22" s="103">
        <f>('Pivot Table for Data Exchange'!$J$433)*100</f>
        <v>0.77865213374410891</v>
      </c>
      <c r="P22" s="96">
        <f>('Pivot Table for Data Exchange'!$J$436)*100</f>
        <v>0</v>
      </c>
      <c r="Q22" s="135">
        <f>SUM(B22,C22,D22,H22)</f>
        <v>100</v>
      </c>
      <c r="R22" s="135">
        <f>SUM(J22,K22,L22,P22)</f>
        <v>99.999999999999986</v>
      </c>
      <c r="S22" s="136"/>
      <c r="T22" s="137"/>
      <c r="U22" s="137"/>
      <c r="V22" s="137"/>
      <c r="W22" s="137"/>
      <c r="X22" s="137"/>
      <c r="Y22" s="137"/>
      <c r="Z22" s="137"/>
      <c r="AA22" s="137"/>
      <c r="AB22" s="137"/>
      <c r="AC22" s="137"/>
      <c r="AD22" s="137"/>
      <c r="AE22" s="137"/>
      <c r="AF22" s="136"/>
      <c r="AG22" s="136"/>
      <c r="AH22" s="136"/>
      <c r="AI22" s="136"/>
      <c r="AJ22" s="136"/>
      <c r="AK22" s="136"/>
      <c r="AL22" s="136"/>
      <c r="AM22" s="136"/>
      <c r="AN22" s="136"/>
      <c r="AO22" s="136"/>
    </row>
    <row r="23" spans="1:41" ht="9.75" customHeight="1">
      <c r="A23" s="102"/>
      <c r="B23" s="96"/>
      <c r="C23" s="96"/>
      <c r="D23" s="148"/>
      <c r="E23" s="96"/>
      <c r="F23" s="96"/>
      <c r="G23" s="103"/>
      <c r="H23" s="96"/>
      <c r="I23" s="102"/>
      <c r="J23" s="96"/>
      <c r="K23" s="96"/>
      <c r="L23" s="603"/>
      <c r="M23" s="96"/>
      <c r="N23" s="96"/>
      <c r="O23" s="103"/>
      <c r="P23" s="96"/>
      <c r="Q23" s="135">
        <f t="shared" si="3"/>
        <v>0</v>
      </c>
      <c r="R23" s="135">
        <f t="shared" si="2"/>
        <v>0</v>
      </c>
      <c r="S23" s="136"/>
      <c r="T23" s="137"/>
      <c r="U23" s="137"/>
      <c r="V23" s="137"/>
      <c r="W23" s="137"/>
      <c r="X23" s="137"/>
      <c r="Y23" s="137"/>
      <c r="Z23" s="137"/>
      <c r="AA23" s="137"/>
      <c r="AB23" s="137"/>
      <c r="AC23" s="137"/>
      <c r="AD23" s="137"/>
      <c r="AE23" s="137"/>
      <c r="AF23" s="136"/>
      <c r="AG23" s="136"/>
      <c r="AH23" s="136"/>
      <c r="AI23" s="136"/>
      <c r="AJ23" s="136"/>
      <c r="AK23" s="136"/>
      <c r="AL23" s="136"/>
      <c r="AM23" s="136"/>
      <c r="AN23" s="136"/>
      <c r="AO23" s="136"/>
    </row>
    <row r="24" spans="1:41" ht="15.75" customHeight="1">
      <c r="A24" s="102" t="s">
        <v>187</v>
      </c>
      <c r="B24" s="96">
        <f>('Pivot Table for Data Exchange'!$J$439)*100</f>
        <v>81.993622363496925</v>
      </c>
      <c r="C24" s="96">
        <f>('Pivot Table for Data Exchange'!$J$442)*100</f>
        <v>3.1484922630136962</v>
      </c>
      <c r="D24" s="148">
        <f>SUM(E24:G24)</f>
        <v>14.205476013811477</v>
      </c>
      <c r="E24" s="96">
        <f>('Pivot Table for Data Exchange'!$J$445)*100</f>
        <v>8.8699613946508471</v>
      </c>
      <c r="F24" s="96">
        <f>('Pivot Table for Data Exchange'!$J$448)*100</f>
        <v>0.3417651473815902</v>
      </c>
      <c r="G24" s="103">
        <f>('Pivot Table for Data Exchange'!$J$451)*100</f>
        <v>4.9937494717790401</v>
      </c>
      <c r="H24" s="96">
        <f>('Pivot Table for Data Exchange'!$J$454)*100</f>
        <v>0.65240935967790037</v>
      </c>
      <c r="I24" s="102" t="s">
        <v>187</v>
      </c>
      <c r="J24" s="96">
        <f>('Pivot Table for Data Exchange'!$J$457)*100</f>
        <v>64.176601404115331</v>
      </c>
      <c r="K24" s="96">
        <f>('Pivot Table for Data Exchange'!$J$460)*100</f>
        <v>5.1024130906947285</v>
      </c>
      <c r="L24" s="603">
        <f>SUM(M24:O24)</f>
        <v>26.045696187235372</v>
      </c>
      <c r="M24" s="96">
        <f>('Pivot Table for Data Exchange'!$J$463)*100</f>
        <v>21.995864888147501</v>
      </c>
      <c r="N24" s="96">
        <f>('Pivot Table for Data Exchange'!$J$466)*100</f>
        <v>0.55892361348442143</v>
      </c>
      <c r="O24" s="103">
        <f>('Pivot Table for Data Exchange'!$J$469)*100</f>
        <v>3.4909076856034482</v>
      </c>
      <c r="P24" s="96">
        <f>('Pivot Table for Data Exchange'!$J$472)*100</f>
        <v>4.6752893179545705</v>
      </c>
      <c r="Q24" s="135">
        <f>SUM(B24,C24,D24,H24)</f>
        <v>100</v>
      </c>
      <c r="R24" s="135">
        <f>SUM(J24,K24,L24,P24)</f>
        <v>100</v>
      </c>
      <c r="S24" s="136"/>
      <c r="T24" s="137"/>
      <c r="U24" s="137"/>
      <c r="V24" s="137"/>
      <c r="W24" s="137"/>
      <c r="X24" s="137"/>
      <c r="Y24" s="137"/>
      <c r="Z24" s="137"/>
      <c r="AA24" s="137"/>
      <c r="AB24" s="137"/>
      <c r="AC24" s="137"/>
      <c r="AD24" s="137"/>
      <c r="AE24" s="137"/>
      <c r="AF24" s="136"/>
      <c r="AG24" s="136"/>
      <c r="AH24" s="136"/>
      <c r="AI24" s="136"/>
      <c r="AJ24" s="136"/>
      <c r="AK24" s="136"/>
      <c r="AL24" s="136"/>
      <c r="AM24" s="136"/>
      <c r="AN24" s="136"/>
      <c r="AO24" s="136"/>
    </row>
    <row r="25" spans="1:41" ht="15.75" customHeight="1">
      <c r="A25" s="102" t="s">
        <v>188</v>
      </c>
      <c r="B25" s="96">
        <f>('Pivot Table for Data Exchange'!$J$475)*100</f>
        <v>88.72997301288504</v>
      </c>
      <c r="C25" s="96">
        <f>('Pivot Table for Data Exchange'!$J$478)*100</f>
        <v>1.4211435228980562</v>
      </c>
      <c r="D25" s="148">
        <f>SUM(E25:G25)</f>
        <v>9.8488834642168932</v>
      </c>
      <c r="E25" s="96">
        <f>('Pivot Table for Data Exchange'!$J$481)*100</f>
        <v>9.4535383086637577</v>
      </c>
      <c r="F25" s="96">
        <f>('Pivot Table for Data Exchange'!$J$484)*100</f>
        <v>0.21319891486142997</v>
      </c>
      <c r="G25" s="103">
        <f>('Pivot Table for Data Exchange'!$J$487)*100</f>
        <v>0.18214624069170693</v>
      </c>
      <c r="H25" s="96">
        <f>('Pivot Table for Data Exchange'!$J$490)*100</f>
        <v>0</v>
      </c>
      <c r="I25" s="102" t="s">
        <v>188</v>
      </c>
      <c r="J25" s="96">
        <f>('Pivot Table for Data Exchange'!$J$493)*100</f>
        <v>72.968633726161585</v>
      </c>
      <c r="K25" s="96">
        <f>('Pivot Table for Data Exchange'!$J$496)*100</f>
        <v>3.9980934130338563</v>
      </c>
      <c r="L25" s="603">
        <f>SUM(M25:O25)</f>
        <v>23.033272860804562</v>
      </c>
      <c r="M25" s="96">
        <f>('Pivot Table for Data Exchange'!$J$499)*100</f>
        <v>22.15390826009348</v>
      </c>
      <c r="N25" s="96">
        <f>('Pivot Table for Data Exchange'!$J$502)*100</f>
        <v>0.23234096778743502</v>
      </c>
      <c r="O25" s="103">
        <f>('Pivot Table for Data Exchange'!$J$505)*100</f>
        <v>0.64702363292364407</v>
      </c>
      <c r="P25" s="96">
        <f>('Pivot Table for Data Exchange'!$J$508)*100</f>
        <v>0</v>
      </c>
      <c r="Q25" s="135">
        <f>SUM(B25,C25,D25,H25)</f>
        <v>100</v>
      </c>
      <c r="R25" s="135">
        <f>SUM(J25,K25,L25,P25)</f>
        <v>100</v>
      </c>
      <c r="S25" s="136"/>
      <c r="T25" s="137"/>
      <c r="U25" s="137"/>
      <c r="V25" s="137"/>
      <c r="W25" s="137"/>
      <c r="X25" s="137"/>
      <c r="Y25" s="137"/>
      <c r="Z25" s="137"/>
      <c r="AA25" s="137"/>
      <c r="AB25" s="137"/>
      <c r="AC25" s="137"/>
      <c r="AD25" s="137"/>
      <c r="AE25" s="137"/>
      <c r="AF25" s="136"/>
      <c r="AG25" s="136"/>
      <c r="AH25" s="136"/>
      <c r="AI25" s="136"/>
      <c r="AJ25" s="136"/>
      <c r="AK25" s="136"/>
      <c r="AL25" s="136"/>
      <c r="AM25" s="136"/>
      <c r="AN25" s="136"/>
      <c r="AO25" s="136"/>
    </row>
    <row r="26" spans="1:41" ht="15.75" customHeight="1">
      <c r="A26" s="102" t="s">
        <v>189</v>
      </c>
      <c r="B26" s="597">
        <f>('Pivot Table for Data Exchange'!$J$511)*100</f>
        <v>94.203449272222002</v>
      </c>
      <c r="C26" s="597">
        <f>('Pivot Table for Data Exchange'!$J$514)*100</f>
        <v>1.9289050790323552</v>
      </c>
      <c r="D26" s="603">
        <f>SUM(E26:G26)</f>
        <v>3.8676456487456368</v>
      </c>
      <c r="E26" s="597">
        <f>('Pivot Table for Data Exchange'!$J$517)*100</f>
        <v>2.5236408796064</v>
      </c>
      <c r="F26" s="597">
        <f>('Pivot Table for Data Exchange'!$J$520)*100</f>
        <v>1.3440047691392367</v>
      </c>
      <c r="G26" s="599">
        <f>('Pivot Table for Data Exchange'!$J$523)*100</f>
        <v>0</v>
      </c>
      <c r="H26" s="597">
        <f>('Pivot Table for Data Exchange'!$J$526)*100</f>
        <v>0</v>
      </c>
      <c r="I26" s="102" t="s">
        <v>189</v>
      </c>
      <c r="J26" s="597">
        <f>('Pivot Table for Data Exchange'!$J$529)*100</f>
        <v>80.154218385342304</v>
      </c>
      <c r="K26" s="597">
        <f>('Pivot Table for Data Exchange'!$J$532)*100</f>
        <v>11.678840240347856</v>
      </c>
      <c r="L26" s="603">
        <f>SUM(M26:O26)</f>
        <v>8.1669413743098467</v>
      </c>
      <c r="M26" s="597">
        <f>('Pivot Table for Data Exchange'!$J$535)*100</f>
        <v>5.6116594752991276</v>
      </c>
      <c r="N26" s="597">
        <f>('Pivot Table for Data Exchange'!$J$538)*100</f>
        <v>2.5552818990107187</v>
      </c>
      <c r="O26" s="599">
        <f>('Pivot Table for Data Exchange'!$J$541)*100</f>
        <v>0</v>
      </c>
      <c r="P26" s="597">
        <f>('Pivot Table for Data Exchange'!$J$544)*100</f>
        <v>0</v>
      </c>
      <c r="Q26" s="135">
        <f>SUM(B26,C26,D26,H26)</f>
        <v>100</v>
      </c>
      <c r="R26" s="135">
        <f>SUM(J26,K26,L26,P26)</f>
        <v>100</v>
      </c>
      <c r="S26" s="136"/>
      <c r="T26" s="137"/>
      <c r="U26" s="137"/>
      <c r="V26" s="137"/>
      <c r="W26" s="137"/>
      <c r="X26" s="137"/>
      <c r="Y26" s="137"/>
      <c r="Z26" s="137"/>
      <c r="AA26" s="137"/>
      <c r="AB26" s="137"/>
      <c r="AC26" s="137"/>
      <c r="AD26" s="137"/>
      <c r="AE26" s="137"/>
      <c r="AF26" s="136"/>
      <c r="AG26" s="136"/>
      <c r="AH26" s="136"/>
      <c r="AI26" s="136"/>
      <c r="AJ26" s="136"/>
      <c r="AK26" s="136"/>
      <c r="AL26" s="136"/>
      <c r="AM26" s="136"/>
      <c r="AN26" s="136"/>
      <c r="AO26" s="136"/>
    </row>
    <row r="27" spans="1:41" ht="15.75" customHeight="1">
      <c r="A27" s="596" t="s">
        <v>190</v>
      </c>
      <c r="B27" s="600">
        <f>('Pivot Table for Data Exchange'!$J$547)*100</f>
        <v>86.196622138866758</v>
      </c>
      <c r="C27" s="600">
        <f>('Pivot Table for Data Exchange'!$J$550)*100</f>
        <v>3.9181146005300378</v>
      </c>
      <c r="D27" s="604">
        <f>SUM(E27:G27)</f>
        <v>9.8852632606032103</v>
      </c>
      <c r="E27" s="600">
        <f>('Pivot Table for Data Exchange'!$J$553)*100</f>
        <v>9.3545051572923406</v>
      </c>
      <c r="F27" s="600">
        <f>('Pivot Table for Data Exchange'!$J$556)*100</f>
        <v>0.35558500937421622</v>
      </c>
      <c r="G27" s="601">
        <f>('Pivot Table for Data Exchange'!$J$559)*100</f>
        <v>0.17517309393665348</v>
      </c>
      <c r="H27" s="600">
        <f>('Pivot Table for Data Exchange'!$J$562)*100</f>
        <v>0</v>
      </c>
      <c r="I27" s="596" t="s">
        <v>190</v>
      </c>
      <c r="J27" s="600">
        <f>('Pivot Table for Data Exchange'!$J$565)*100</f>
        <v>52.386050444158947</v>
      </c>
      <c r="K27" s="600">
        <f>('Pivot Table for Data Exchange'!$J$568)*100</f>
        <v>21.638062610490717</v>
      </c>
      <c r="L27" s="604">
        <f>SUM(M27:O27)</f>
        <v>25.975886945350329</v>
      </c>
      <c r="M27" s="600">
        <f>('Pivot Table for Data Exchange'!$J$571)*100</f>
        <v>25.344511425151804</v>
      </c>
      <c r="N27" s="600">
        <f>('Pivot Table for Data Exchange'!$J$574)*100</f>
        <v>0.53145348134971615</v>
      </c>
      <c r="O27" s="601">
        <f>('Pivot Table for Data Exchange'!$J$577)*100</f>
        <v>9.9922038848810263E-2</v>
      </c>
      <c r="P27" s="600">
        <f>('Pivot Table for Data Exchange'!$J$580)*100</f>
        <v>0</v>
      </c>
      <c r="Q27" s="602">
        <f t="shared" ref="Q27:Q90" si="4">SUM(B27,C27,D27,H27)</f>
        <v>100</v>
      </c>
      <c r="R27" s="602">
        <f t="shared" ref="R27:R90" si="5">SUM(J27,K27,L27,P27)</f>
        <v>99.999999999999986</v>
      </c>
      <c r="S27" s="136"/>
      <c r="T27" s="137"/>
      <c r="U27" s="137"/>
      <c r="V27" s="137"/>
      <c r="W27" s="137"/>
      <c r="X27" s="137"/>
      <c r="Y27" s="137"/>
      <c r="Z27" s="137"/>
      <c r="AA27" s="137"/>
      <c r="AB27" s="137"/>
      <c r="AC27" s="137"/>
      <c r="AD27" s="137"/>
      <c r="AE27" s="137"/>
      <c r="AF27" s="136"/>
      <c r="AG27" s="136"/>
      <c r="AH27" s="136"/>
      <c r="AI27" s="136"/>
      <c r="AJ27" s="136"/>
      <c r="AK27" s="136"/>
      <c r="AL27" s="136"/>
      <c r="AM27" s="136"/>
      <c r="AN27" s="136"/>
      <c r="AO27" s="136"/>
    </row>
    <row r="28" spans="1:41" s="141" customFormat="1" ht="18" customHeight="1">
      <c r="A28" s="43" t="s">
        <v>219</v>
      </c>
      <c r="B28" s="106"/>
      <c r="C28" s="106"/>
      <c r="D28" s="107"/>
      <c r="E28" s="106"/>
      <c r="F28" s="107"/>
      <c r="G28" s="107"/>
      <c r="H28" s="106"/>
      <c r="I28" s="43" t="s">
        <v>219</v>
      </c>
      <c r="J28" s="106"/>
      <c r="K28" s="106"/>
      <c r="L28" s="107"/>
      <c r="M28" s="106"/>
      <c r="N28" s="107"/>
      <c r="O28" s="107"/>
      <c r="P28" s="106"/>
      <c r="Q28" s="602">
        <f t="shared" si="4"/>
        <v>0</v>
      </c>
      <c r="R28" s="602">
        <f t="shared" si="5"/>
        <v>0</v>
      </c>
      <c r="S28" s="140"/>
      <c r="T28" s="136"/>
      <c r="U28" s="140"/>
      <c r="V28" s="140"/>
      <c r="W28" s="140"/>
      <c r="X28" s="140"/>
      <c r="Y28" s="140"/>
      <c r="Z28" s="140"/>
      <c r="AA28" s="140"/>
      <c r="AB28" s="140"/>
      <c r="AC28" s="140"/>
      <c r="AD28" s="140"/>
      <c r="AE28" s="140"/>
      <c r="AF28" s="140"/>
      <c r="AG28" s="140"/>
      <c r="AH28" s="140"/>
      <c r="AI28" s="140"/>
      <c r="AJ28" s="140"/>
      <c r="AK28" s="140"/>
      <c r="AL28" s="140"/>
      <c r="AM28" s="140"/>
      <c r="AN28" s="140"/>
      <c r="AO28" s="140"/>
    </row>
    <row r="29" spans="1:41" s="141" customFormat="1" ht="24.75" customHeight="1">
      <c r="A29" s="658" t="s">
        <v>220</v>
      </c>
      <c r="B29" s="659"/>
      <c r="C29" s="659"/>
      <c r="D29" s="659"/>
      <c r="E29" s="659"/>
      <c r="F29" s="659"/>
      <c r="G29" s="659"/>
      <c r="H29" s="659"/>
      <c r="I29" s="658" t="s">
        <v>220</v>
      </c>
      <c r="J29" s="659"/>
      <c r="K29" s="659"/>
      <c r="L29" s="659"/>
      <c r="M29" s="659"/>
      <c r="N29" s="659"/>
      <c r="O29" s="659"/>
      <c r="P29" s="659"/>
      <c r="Q29" s="602">
        <f t="shared" si="4"/>
        <v>0</v>
      </c>
      <c r="R29" s="602">
        <f t="shared" si="5"/>
        <v>0</v>
      </c>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row>
    <row r="30" spans="1:41" s="141" customFormat="1" ht="13.5" customHeight="1">
      <c r="A30" s="655" t="s">
        <v>221</v>
      </c>
      <c r="B30" s="656"/>
      <c r="C30" s="656"/>
      <c r="D30" s="656"/>
      <c r="E30" s="656"/>
      <c r="F30" s="656"/>
      <c r="G30" s="656"/>
      <c r="H30" s="656"/>
      <c r="I30" s="655" t="s">
        <v>221</v>
      </c>
      <c r="J30" s="656"/>
      <c r="K30" s="656"/>
      <c r="L30" s="656"/>
      <c r="M30" s="656"/>
      <c r="N30" s="656"/>
      <c r="O30" s="656"/>
      <c r="P30" s="656"/>
      <c r="Q30" s="602">
        <f t="shared" si="4"/>
        <v>0</v>
      </c>
      <c r="R30" s="602">
        <f t="shared" si="5"/>
        <v>0</v>
      </c>
    </row>
    <row r="31" spans="1:41" s="141" customFormat="1" ht="13.5" customHeight="1">
      <c r="A31" s="55"/>
      <c r="B31" s="149"/>
      <c r="C31" s="149"/>
      <c r="D31" s="149"/>
      <c r="E31" s="149"/>
      <c r="F31" s="149"/>
      <c r="G31" s="149"/>
      <c r="H31" s="149"/>
      <c r="I31" s="55"/>
      <c r="J31" s="149"/>
      <c r="K31" s="149"/>
      <c r="L31" s="149"/>
      <c r="M31" s="149"/>
      <c r="N31" s="149"/>
      <c r="O31" s="149"/>
      <c r="P31" s="149"/>
      <c r="Q31" s="602">
        <f t="shared" si="4"/>
        <v>0</v>
      </c>
      <c r="R31" s="602">
        <f t="shared" si="5"/>
        <v>0</v>
      </c>
    </row>
    <row r="32" spans="1:41">
      <c r="H32" s="49" t="s">
        <v>900</v>
      </c>
      <c r="I32" s="50"/>
      <c r="P32" s="49" t="s">
        <v>900</v>
      </c>
      <c r="Q32" s="602">
        <f t="shared" si="4"/>
        <v>0</v>
      </c>
      <c r="R32" s="602">
        <f t="shared" si="5"/>
        <v>0</v>
      </c>
    </row>
    <row r="33" spans="1:41" ht="18">
      <c r="A33" s="16" t="s">
        <v>266</v>
      </c>
      <c r="B33" s="71"/>
      <c r="C33" s="71"/>
      <c r="D33" s="71"/>
      <c r="E33" s="71"/>
      <c r="F33" s="71"/>
      <c r="G33" s="71"/>
      <c r="H33" s="72"/>
      <c r="I33" s="16" t="s">
        <v>281</v>
      </c>
      <c r="J33" s="23"/>
      <c r="K33" s="23"/>
      <c r="L33" s="71"/>
      <c r="M33" s="23"/>
      <c r="N33" s="23"/>
      <c r="O33" s="23"/>
      <c r="P33" s="23"/>
      <c r="Q33" s="602">
        <f t="shared" si="4"/>
        <v>0</v>
      </c>
      <c r="R33" s="602">
        <f t="shared" si="5"/>
        <v>0</v>
      </c>
    </row>
    <row r="34" spans="1:41">
      <c r="A34" s="22"/>
      <c r="B34" s="23"/>
      <c r="C34" s="23"/>
      <c r="D34" s="23"/>
      <c r="E34" s="23"/>
      <c r="F34" s="23"/>
      <c r="G34" s="23"/>
      <c r="H34" s="73"/>
      <c r="I34" s="22"/>
      <c r="J34" s="23"/>
      <c r="K34" s="23"/>
      <c r="L34" s="23"/>
      <c r="M34" s="23"/>
      <c r="N34" s="23"/>
      <c r="O34" s="23"/>
      <c r="P34" s="23"/>
      <c r="Q34" s="602">
        <f t="shared" si="4"/>
        <v>0</v>
      </c>
      <c r="R34" s="602">
        <f t="shared" si="5"/>
        <v>0</v>
      </c>
    </row>
    <row r="35" spans="1:41" ht="15.75">
      <c r="A35" s="74" t="s">
        <v>205</v>
      </c>
      <c r="B35" s="23"/>
      <c r="C35" s="23"/>
      <c r="D35" s="23"/>
      <c r="E35" s="23"/>
      <c r="F35" s="23"/>
      <c r="G35" s="23"/>
      <c r="H35" s="73"/>
      <c r="I35" s="74" t="s">
        <v>206</v>
      </c>
      <c r="J35" s="23"/>
      <c r="K35" s="23"/>
      <c r="L35" s="23"/>
      <c r="M35" s="23"/>
      <c r="N35" s="23"/>
      <c r="O35" s="23"/>
      <c r="P35" s="23"/>
      <c r="Q35" s="602">
        <f t="shared" si="4"/>
        <v>0</v>
      </c>
      <c r="R35" s="602">
        <f t="shared" si="5"/>
        <v>0</v>
      </c>
    </row>
    <row r="36" spans="1:41" ht="15.75">
      <c r="A36" s="74" t="s">
        <v>882</v>
      </c>
      <c r="B36" s="23"/>
      <c r="C36" s="23"/>
      <c r="D36" s="23"/>
      <c r="E36" s="23"/>
      <c r="F36" s="23"/>
      <c r="G36" s="23"/>
      <c r="H36" s="73"/>
      <c r="I36" s="74" t="s">
        <v>882</v>
      </c>
      <c r="J36" s="23"/>
      <c r="K36" s="23"/>
      <c r="L36" s="23"/>
      <c r="M36" s="23"/>
      <c r="N36" s="23"/>
      <c r="O36" s="23"/>
      <c r="P36" s="23"/>
      <c r="Q36" s="602">
        <f t="shared" si="4"/>
        <v>0</v>
      </c>
      <c r="R36" s="602">
        <f t="shared" si="5"/>
        <v>0</v>
      </c>
    </row>
    <row r="37" spans="1:41">
      <c r="A37" s="76"/>
      <c r="B37" s="77"/>
      <c r="C37" s="77"/>
      <c r="D37" s="77"/>
      <c r="E37" s="77"/>
      <c r="F37" s="77"/>
      <c r="G37" s="77"/>
      <c r="H37" s="77"/>
      <c r="I37" s="78"/>
      <c r="L37" s="79"/>
      <c r="P37" s="76"/>
      <c r="Q37" s="602">
        <f t="shared" si="4"/>
        <v>0</v>
      </c>
      <c r="R37" s="602">
        <f t="shared" si="5"/>
        <v>0</v>
      </c>
    </row>
    <row r="38" spans="1:41" s="94" customFormat="1">
      <c r="A38" s="80"/>
      <c r="B38" s="81" t="s">
        <v>207</v>
      </c>
      <c r="C38" s="81"/>
      <c r="D38" s="81"/>
      <c r="E38" s="81"/>
      <c r="F38" s="81"/>
      <c r="G38" s="81"/>
      <c r="H38" s="82"/>
      <c r="I38" s="80"/>
      <c r="J38" s="81" t="s">
        <v>207</v>
      </c>
      <c r="K38" s="81"/>
      <c r="L38" s="81"/>
      <c r="M38" s="81"/>
      <c r="N38" s="81"/>
      <c r="O38" s="81"/>
      <c r="P38" s="82"/>
      <c r="Q38" s="602">
        <f t="shared" si="4"/>
        <v>0</v>
      </c>
      <c r="R38" s="602">
        <f t="shared" si="5"/>
        <v>0</v>
      </c>
    </row>
    <row r="39" spans="1:41" s="94" customFormat="1">
      <c r="A39" s="80"/>
      <c r="B39" s="81" t="s">
        <v>208</v>
      </c>
      <c r="C39" s="81"/>
      <c r="D39" s="653" t="s">
        <v>209</v>
      </c>
      <c r="E39" s="654"/>
      <c r="F39" s="654"/>
      <c r="G39" s="654"/>
      <c r="H39" s="86" t="s">
        <v>39</v>
      </c>
      <c r="I39" s="80"/>
      <c r="J39" s="81" t="s">
        <v>208</v>
      </c>
      <c r="K39" s="81"/>
      <c r="L39" s="653" t="s">
        <v>209</v>
      </c>
      <c r="M39" s="654"/>
      <c r="N39" s="654"/>
      <c r="O39" s="654"/>
      <c r="P39" s="86" t="s">
        <v>39</v>
      </c>
      <c r="Q39" s="602">
        <f t="shared" si="4"/>
        <v>0</v>
      </c>
      <c r="R39" s="602">
        <f t="shared" si="5"/>
        <v>0</v>
      </c>
    </row>
    <row r="40" spans="1:41" s="94" customFormat="1" ht="40.5" customHeight="1">
      <c r="A40" s="80"/>
      <c r="B40" s="87" t="s">
        <v>210</v>
      </c>
      <c r="C40" s="88" t="s">
        <v>211</v>
      </c>
      <c r="D40" s="89" t="s">
        <v>212</v>
      </c>
      <c r="E40" s="90" t="s">
        <v>7</v>
      </c>
      <c r="F40" s="87" t="s">
        <v>213</v>
      </c>
      <c r="G40" s="91" t="s">
        <v>214</v>
      </c>
      <c r="H40" s="92" t="s">
        <v>215</v>
      </c>
      <c r="I40" s="80"/>
      <c r="J40" s="87" t="s">
        <v>210</v>
      </c>
      <c r="K40" s="88" t="s">
        <v>211</v>
      </c>
      <c r="L40" s="89" t="s">
        <v>212</v>
      </c>
      <c r="M40" s="90" t="s">
        <v>7</v>
      </c>
      <c r="N40" s="87" t="s">
        <v>213</v>
      </c>
      <c r="O40" s="91" t="s">
        <v>214</v>
      </c>
      <c r="P40" s="92" t="s">
        <v>215</v>
      </c>
      <c r="Q40" s="602">
        <f t="shared" si="4"/>
        <v>0</v>
      </c>
      <c r="R40" s="602">
        <f t="shared" si="5"/>
        <v>0</v>
      </c>
      <c r="T40" s="93"/>
    </row>
    <row r="41" spans="1:41" ht="15.75" customHeight="1">
      <c r="A41" s="95" t="s">
        <v>175</v>
      </c>
      <c r="B41" s="120">
        <f>('Pivot Table for Data Exchange'!$J$7)*100</f>
        <v>87.78286191030908</v>
      </c>
      <c r="C41" s="597">
        <f>('Pivot Table for Data Exchange'!$J$10)*100</f>
        <v>0.45586446002950393</v>
      </c>
      <c r="D41" s="603">
        <f>SUM(E41:G41)</f>
        <v>11.761273629661424</v>
      </c>
      <c r="E41" s="597">
        <f>('Pivot Table for Data Exchange'!$J$13)*100</f>
        <v>11.519931889698759</v>
      </c>
      <c r="F41" s="597">
        <f>('Pivot Table for Data Exchange'!$J$16)*100</f>
        <v>9.3410263588867656E-2</v>
      </c>
      <c r="G41" s="97">
        <f>('Pivot Table for Data Exchange'!$J$19)*100</f>
        <v>0.14793147637379767</v>
      </c>
      <c r="H41" s="597">
        <f>('Pivot Table for Data Exchange'!$J$22)*100</f>
        <v>0</v>
      </c>
      <c r="I41" s="618" t="s">
        <v>175</v>
      </c>
      <c r="J41" s="597">
        <f>('Pivot Table for Data Exchange'!$J$25)*100</f>
        <v>69.512512214454375</v>
      </c>
      <c r="K41" s="597">
        <f>('Pivot Table for Data Exchange'!$J$28)*100</f>
        <v>2.6689369126053171</v>
      </c>
      <c r="L41" s="603">
        <f>SUM(M41:O41)</f>
        <v>27.818550872940314</v>
      </c>
      <c r="M41" s="597">
        <f>('Pivot Table for Data Exchange'!$J$31)*100</f>
        <v>25.167018247241522</v>
      </c>
      <c r="N41" s="597">
        <f>('Pivot Table for Data Exchange'!$J$34)*100</f>
        <v>0.1126036393831753</v>
      </c>
      <c r="O41" s="97">
        <f>('Pivot Table for Data Exchange'!$J$37)*100</f>
        <v>2.5389289863156175</v>
      </c>
      <c r="P41" s="597">
        <f>('Pivot Table for Data Exchange'!$J$40)*100</f>
        <v>0</v>
      </c>
      <c r="Q41" s="602">
        <f t="shared" si="4"/>
        <v>100</v>
      </c>
      <c r="R41" s="602">
        <f t="shared" si="5"/>
        <v>100</v>
      </c>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row>
    <row r="42" spans="1:41" ht="15.75" customHeight="1">
      <c r="A42" s="102" t="s">
        <v>176</v>
      </c>
      <c r="B42" s="597">
        <f>('Pivot Table for Data Exchange'!$J$43)*100</f>
        <v>83.95291844403917</v>
      </c>
      <c r="C42" s="597">
        <f>('Pivot Table for Data Exchange'!$J$46)*100</f>
        <v>3.9114631078517066</v>
      </c>
      <c r="D42" s="603">
        <f t="shared" ref="D42:D44" si="6">SUM(E42:G42)</f>
        <v>11.758857468453051</v>
      </c>
      <c r="E42" s="597">
        <f>('Pivot Table for Data Exchange'!$J$49)*100</f>
        <v>11.127433974770193</v>
      </c>
      <c r="F42" s="597">
        <f>('Pivot Table for Data Exchange'!$J$52)*100</f>
        <v>0.62371966192291517</v>
      </c>
      <c r="G42" s="105">
        <f>('Pivot Table for Data Exchange'!$J$55)*100</f>
        <v>7.7038317599427879E-3</v>
      </c>
      <c r="H42" s="597">
        <f>('Pivot Table for Data Exchange'!$J$58)*100</f>
        <v>0.37676097965606992</v>
      </c>
      <c r="I42" s="125" t="s">
        <v>176</v>
      </c>
      <c r="J42" s="597">
        <f>('Pivot Table for Data Exchange'!$J$61)*100</f>
        <v>53.616586764769778</v>
      </c>
      <c r="K42" s="597">
        <f>('Pivot Table for Data Exchange'!$J$64)*100</f>
        <v>7.3656996364584391</v>
      </c>
      <c r="L42" s="603">
        <f t="shared" ref="L42:L44" si="7">SUM(M42:O42)</f>
        <v>39.017713598771778</v>
      </c>
      <c r="M42" s="597">
        <f>('Pivot Table for Data Exchange'!$J$67)*100</f>
        <v>37.514302680937966</v>
      </c>
      <c r="N42" s="597">
        <f>('Pivot Table for Data Exchange'!$J$70)*100</f>
        <v>1.0417421027475631</v>
      </c>
      <c r="O42" s="599">
        <f>('Pivot Table for Data Exchange'!$J$73)*100</f>
        <v>0.46166881508625063</v>
      </c>
      <c r="P42" s="597">
        <f>('Pivot Table for Data Exchange'!$J$76)*100</f>
        <v>0</v>
      </c>
      <c r="Q42" s="602">
        <f t="shared" si="4"/>
        <v>100</v>
      </c>
      <c r="R42" s="602">
        <f t="shared" si="5"/>
        <v>100</v>
      </c>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row>
    <row r="43" spans="1:41" ht="15.75" customHeight="1">
      <c r="A43" s="102" t="s">
        <v>177</v>
      </c>
      <c r="B43" s="597">
        <f>('Pivot Table for Data Exchange'!$J$79)*100</f>
        <v>97.203972643322345</v>
      </c>
      <c r="C43" s="597">
        <f>('Pivot Table for Data Exchange'!$J$82)*100</f>
        <v>0</v>
      </c>
      <c r="D43" s="603">
        <f t="shared" si="6"/>
        <v>2.7960273566776559</v>
      </c>
      <c r="E43" s="597">
        <f>('Pivot Table for Data Exchange'!$J$85)*100</f>
        <v>2.7960273566776559</v>
      </c>
      <c r="F43" s="597">
        <f>('Pivot Table for Data Exchange'!$J$88)*100</f>
        <v>0</v>
      </c>
      <c r="G43" s="599">
        <f>('Pivot Table for Data Exchange'!$J$91)*100</f>
        <v>0</v>
      </c>
      <c r="H43" s="597">
        <f>('Pivot Table for Data Exchange'!$J$94)*100</f>
        <v>0</v>
      </c>
      <c r="I43" s="125" t="s">
        <v>177</v>
      </c>
      <c r="J43" s="597">
        <f>('Pivot Table for Data Exchange'!$J$97)*100</f>
        <v>89.836643329999518</v>
      </c>
      <c r="K43" s="597">
        <f>('Pivot Table for Data Exchange'!$J$100)*100</f>
        <v>0</v>
      </c>
      <c r="L43" s="603">
        <f t="shared" si="7"/>
        <v>10.163356670000475</v>
      </c>
      <c r="M43" s="597">
        <f>('Pivot Table for Data Exchange'!$J$103)*100</f>
        <v>10.163356670000475</v>
      </c>
      <c r="N43" s="597">
        <f>('Pivot Table for Data Exchange'!$J$106)*100</f>
        <v>0</v>
      </c>
      <c r="O43" s="599">
        <f>('Pivot Table for Data Exchange'!$J$109)*100</f>
        <v>0</v>
      </c>
      <c r="P43" s="597">
        <f>('Pivot Table for Data Exchange'!$J$112)*100</f>
        <v>0</v>
      </c>
      <c r="Q43" s="602">
        <f t="shared" si="4"/>
        <v>100</v>
      </c>
      <c r="R43" s="602">
        <f t="shared" si="5"/>
        <v>100</v>
      </c>
      <c r="S43" s="136"/>
      <c r="T43" s="142"/>
      <c r="U43" s="136"/>
      <c r="V43" s="136"/>
      <c r="W43" s="136"/>
      <c r="X43" s="136"/>
      <c r="Y43" s="136"/>
      <c r="Z43" s="136"/>
      <c r="AA43" s="136"/>
      <c r="AB43" s="136"/>
      <c r="AC43" s="136"/>
      <c r="AD43" s="136"/>
      <c r="AE43" s="136"/>
      <c r="AF43" s="136"/>
      <c r="AG43" s="136"/>
      <c r="AH43" s="136"/>
      <c r="AI43" s="136"/>
      <c r="AJ43" s="136"/>
      <c r="AK43" s="136"/>
      <c r="AL43" s="136"/>
      <c r="AM43" s="136"/>
      <c r="AN43" s="136"/>
      <c r="AO43" s="136"/>
    </row>
    <row r="44" spans="1:41" ht="15.75" customHeight="1">
      <c r="A44" s="102" t="s">
        <v>217</v>
      </c>
      <c r="B44" s="597">
        <f>('Pivot Table for Data Exchange'!$J$115)*100</f>
        <v>73.772270868904585</v>
      </c>
      <c r="C44" s="597">
        <f>('Pivot Table for Data Exchange'!$J$118)*100</f>
        <v>7.8853922454229481</v>
      </c>
      <c r="D44" s="603">
        <f t="shared" si="6"/>
        <v>18.258055420667613</v>
      </c>
      <c r="E44" s="597">
        <f>('Pivot Table for Data Exchange'!$J$121)*100</f>
        <v>16.799330259628821</v>
      </c>
      <c r="F44" s="597">
        <f>('Pivot Table for Data Exchange'!$J$124)*100</f>
        <v>0</v>
      </c>
      <c r="G44" s="599">
        <f>('Pivot Table for Data Exchange'!$J$127)*100</f>
        <v>1.4587251610387937</v>
      </c>
      <c r="H44" s="597">
        <f>('Pivot Table for Data Exchange'!$J$130)*100</f>
        <v>8.4281465004847261E-2</v>
      </c>
      <c r="I44" s="125" t="s">
        <v>217</v>
      </c>
      <c r="J44" s="597">
        <f>('Pivot Table for Data Exchange'!$J$133)*100</f>
        <v>70.16967839446778</v>
      </c>
      <c r="K44" s="597">
        <f>('Pivot Table for Data Exchange'!$J$136)*100</f>
        <v>8.5135253737005563</v>
      </c>
      <c r="L44" s="603">
        <f t="shared" si="7"/>
        <v>21.316796231831656</v>
      </c>
      <c r="M44" s="597">
        <f>('Pivot Table for Data Exchange'!$J$139)*100</f>
        <v>20.349031203627423</v>
      </c>
      <c r="N44" s="597">
        <f>('Pivot Table for Data Exchange'!$J$142)*100</f>
        <v>0</v>
      </c>
      <c r="O44" s="599">
        <f>('Pivot Table for Data Exchange'!$J$145)*100</f>
        <v>0.96776502820423527</v>
      </c>
      <c r="P44" s="597">
        <f>('Pivot Table for Data Exchange'!$J$148)*100</f>
        <v>0</v>
      </c>
      <c r="Q44" s="602">
        <f t="shared" si="4"/>
        <v>100</v>
      </c>
      <c r="R44" s="602">
        <f t="shared" si="5"/>
        <v>100</v>
      </c>
      <c r="S44" s="136"/>
      <c r="U44" s="136"/>
      <c r="V44" s="136"/>
      <c r="W44" s="136"/>
      <c r="X44" s="136"/>
      <c r="Y44" s="136"/>
      <c r="Z44" s="136"/>
      <c r="AA44" s="136"/>
      <c r="AB44" s="136"/>
      <c r="AC44" s="136"/>
      <c r="AD44" s="136"/>
      <c r="AE44" s="136"/>
      <c r="AF44" s="136"/>
      <c r="AG44" s="136"/>
      <c r="AH44" s="136"/>
      <c r="AI44" s="136"/>
      <c r="AJ44" s="136"/>
      <c r="AK44" s="136"/>
      <c r="AL44" s="136"/>
      <c r="AM44" s="136"/>
      <c r="AN44" s="136"/>
      <c r="AO44" s="136"/>
    </row>
    <row r="45" spans="1:41" ht="10.5" customHeight="1">
      <c r="A45" s="102"/>
      <c r="B45" s="597"/>
      <c r="C45" s="597"/>
      <c r="D45" s="603"/>
      <c r="E45" s="597"/>
      <c r="F45" s="597"/>
      <c r="G45" s="599"/>
      <c r="H45" s="597"/>
      <c r="I45" s="125"/>
      <c r="J45" s="597"/>
      <c r="K45" s="597"/>
      <c r="L45" s="603"/>
      <c r="M45" s="597"/>
      <c r="N45" s="597"/>
      <c r="O45" s="599"/>
      <c r="P45" s="597"/>
      <c r="Q45" s="602">
        <f t="shared" si="4"/>
        <v>0</v>
      </c>
      <c r="R45" s="602">
        <f t="shared" si="5"/>
        <v>0</v>
      </c>
      <c r="S45" s="136"/>
      <c r="U45" s="136"/>
      <c r="V45" s="136"/>
      <c r="W45" s="136"/>
      <c r="X45" s="136"/>
      <c r="Y45" s="136"/>
      <c r="Z45" s="136"/>
      <c r="AA45" s="136"/>
      <c r="AB45" s="136"/>
      <c r="AC45" s="136"/>
      <c r="AD45" s="136"/>
      <c r="AE45" s="136"/>
      <c r="AF45" s="136"/>
      <c r="AG45" s="136"/>
      <c r="AH45" s="136"/>
      <c r="AI45" s="136"/>
      <c r="AJ45" s="136"/>
      <c r="AK45" s="136"/>
      <c r="AL45" s="136"/>
      <c r="AM45" s="136"/>
      <c r="AN45" s="136"/>
      <c r="AO45" s="136"/>
    </row>
    <row r="46" spans="1:41" ht="15.75" customHeight="1">
      <c r="A46" s="102" t="s">
        <v>179</v>
      </c>
      <c r="B46" s="597">
        <f>('Pivot Table for Data Exchange'!$J$151)*100</f>
        <v>0</v>
      </c>
      <c r="C46" s="597">
        <f>('Pivot Table for Data Exchange'!$J$154)*100</f>
        <v>0</v>
      </c>
      <c r="D46" s="603">
        <f t="shared" ref="D46:D47" si="8">SUM(E46:G46)</f>
        <v>0</v>
      </c>
      <c r="E46" s="597">
        <f>('Pivot Table for Data Exchange'!$J$157)*100</f>
        <v>0</v>
      </c>
      <c r="F46" s="597">
        <f>('Pivot Table for Data Exchange'!$J$160)*100</f>
        <v>0</v>
      </c>
      <c r="G46" s="599">
        <f>('Pivot Table for Data Exchange'!$J$163)*100</f>
        <v>0</v>
      </c>
      <c r="H46" s="597">
        <f>('Pivot Table for Data Exchange'!$J$166)*100</f>
        <v>0</v>
      </c>
      <c r="I46" s="125" t="s">
        <v>179</v>
      </c>
      <c r="J46" s="597">
        <f>('Pivot Table for Data Exchange'!$J$169)*100</f>
        <v>0</v>
      </c>
      <c r="K46" s="597">
        <f>('Pivot Table for Data Exchange'!$J$172)*100</f>
        <v>0</v>
      </c>
      <c r="L46" s="603">
        <f t="shared" ref="L46:L47" si="9">SUM(M46:O46)</f>
        <v>0</v>
      </c>
      <c r="M46" s="597">
        <f>('Pivot Table for Data Exchange'!$J$175)*100</f>
        <v>0</v>
      </c>
      <c r="N46" s="597">
        <f>('Pivot Table for Data Exchange'!$J$178)*100</f>
        <v>0</v>
      </c>
      <c r="O46" s="599">
        <f>('Pivot Table for Data Exchange'!$J$181)*100</f>
        <v>0</v>
      </c>
      <c r="P46" s="597">
        <f>('Pivot Table for Data Exchange'!$J$184)*100</f>
        <v>0</v>
      </c>
      <c r="Q46" s="602">
        <f t="shared" si="4"/>
        <v>0</v>
      </c>
      <c r="R46" s="602">
        <f t="shared" si="5"/>
        <v>0</v>
      </c>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row>
    <row r="47" spans="1:41" ht="15.75" customHeight="1">
      <c r="A47" s="102" t="s">
        <v>180</v>
      </c>
      <c r="B47" s="597">
        <f>('Pivot Table for Data Exchange'!$J$187)*100</f>
        <v>84.299671008092787</v>
      </c>
      <c r="C47" s="597">
        <f>('Pivot Table for Data Exchange'!$J$190)*100</f>
        <v>4.6265344054687638</v>
      </c>
      <c r="D47" s="603">
        <f t="shared" si="8"/>
        <v>11.073794586438456</v>
      </c>
      <c r="E47" s="597">
        <f>('Pivot Table for Data Exchange'!$J$193)*100</f>
        <v>9.5987295384436493</v>
      </c>
      <c r="F47" s="597">
        <f>('Pivot Table for Data Exchange'!$J$196)*100</f>
        <v>1.4006251483631238</v>
      </c>
      <c r="G47" s="599">
        <f>('Pivot Table for Data Exchange'!$J$199)*100</f>
        <v>7.4439899631682821E-2</v>
      </c>
      <c r="H47" s="597">
        <f>('Pivot Table for Data Exchange'!$J$202)*100</f>
        <v>0</v>
      </c>
      <c r="I47" s="125" t="s">
        <v>180</v>
      </c>
      <c r="J47" s="597">
        <f>('Pivot Table for Data Exchange'!$J$205)*100</f>
        <v>68.344099143344707</v>
      </c>
      <c r="K47" s="597">
        <f>('Pivot Table for Data Exchange'!$J$208)*100</f>
        <v>4.0745656491063498</v>
      </c>
      <c r="L47" s="603">
        <f t="shared" si="9"/>
        <v>27.581335207548943</v>
      </c>
      <c r="M47" s="597">
        <f>('Pivot Table for Data Exchange'!$J$211)*100</f>
        <v>25.766520445534884</v>
      </c>
      <c r="N47" s="597">
        <f>('Pivot Table for Data Exchange'!$J$214)*100</f>
        <v>1.8019841784648636</v>
      </c>
      <c r="O47" s="105">
        <f>('Pivot Table for Data Exchange'!$J$217)*100</f>
        <v>1.283058354919602E-2</v>
      </c>
      <c r="P47" s="597">
        <f>('Pivot Table for Data Exchange'!$J$220)*100</f>
        <v>0</v>
      </c>
      <c r="Q47" s="602">
        <f t="shared" si="4"/>
        <v>100</v>
      </c>
      <c r="R47" s="602">
        <f t="shared" si="5"/>
        <v>100</v>
      </c>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row>
    <row r="48" spans="1:41" ht="15.75" customHeight="1">
      <c r="A48" s="598" t="s">
        <v>181</v>
      </c>
      <c r="B48" s="597">
        <f>('Pivot Table for Data Exchange'!$J$223)*100</f>
        <v>0</v>
      </c>
      <c r="C48" s="597">
        <f>('Pivot Table for Data Exchange'!$J$226)*100</f>
        <v>0</v>
      </c>
      <c r="D48" s="603">
        <f>SUM(E48:G48)</f>
        <v>0</v>
      </c>
      <c r="E48" s="597">
        <f>('Pivot Table for Data Exchange'!$J$229)*100</f>
        <v>0</v>
      </c>
      <c r="F48" s="597">
        <f>('Pivot Table for Data Exchange'!$J$232)*100</f>
        <v>0</v>
      </c>
      <c r="G48" s="599">
        <f>('Pivot Table for Data Exchange'!$J$235)*100</f>
        <v>0</v>
      </c>
      <c r="H48" s="597">
        <f>('Pivot Table for Data Exchange'!$J$238)*100</f>
        <v>0</v>
      </c>
      <c r="I48" s="125" t="s">
        <v>181</v>
      </c>
      <c r="J48" s="597">
        <f>('Pivot Table for Data Exchange'!$J$241)*100</f>
        <v>0</v>
      </c>
      <c r="K48" s="597">
        <f>('Pivot Table for Data Exchange'!$J$244)*100</f>
        <v>0</v>
      </c>
      <c r="L48" s="603">
        <f>SUM(M48:O48)</f>
        <v>0</v>
      </c>
      <c r="M48" s="597">
        <f>('Pivot Table for Data Exchange'!$J$247)*100</f>
        <v>0</v>
      </c>
      <c r="N48" s="597">
        <f>('Pivot Table for Data Exchange'!$J$250)*100</f>
        <v>0</v>
      </c>
      <c r="O48" s="599">
        <f>('Pivot Table for Data Exchange'!$J$253)*100</f>
        <v>0</v>
      </c>
      <c r="P48" s="597">
        <f>('Pivot Table for Data Exchange'!$J$256)*100</f>
        <v>0</v>
      </c>
      <c r="Q48" s="602">
        <f t="shared" si="4"/>
        <v>0</v>
      </c>
      <c r="R48" s="602">
        <f t="shared" si="5"/>
        <v>0</v>
      </c>
      <c r="S48" s="136"/>
      <c r="T48" s="142"/>
      <c r="U48" s="136"/>
      <c r="V48" s="136"/>
      <c r="W48" s="136"/>
      <c r="X48" s="136"/>
      <c r="Y48" s="136"/>
      <c r="Z48" s="136"/>
      <c r="AA48" s="136"/>
      <c r="AB48" s="136"/>
      <c r="AC48" s="136"/>
      <c r="AD48" s="136"/>
      <c r="AE48" s="136"/>
      <c r="AF48" s="136"/>
      <c r="AG48" s="136"/>
      <c r="AH48" s="136"/>
      <c r="AI48" s="136"/>
      <c r="AJ48" s="136"/>
      <c r="AK48" s="136"/>
      <c r="AL48" s="136"/>
      <c r="AM48" s="136"/>
      <c r="AN48" s="136"/>
      <c r="AO48" s="136"/>
    </row>
    <row r="49" spans="1:41" ht="15.75" customHeight="1">
      <c r="A49" s="102" t="s">
        <v>222</v>
      </c>
      <c r="B49" s="597">
        <f>('Pivot Table for Data Exchange'!$J$259)*100</f>
        <v>79.005568594876038</v>
      </c>
      <c r="C49" s="597">
        <f>('Pivot Table for Data Exchange'!$J$262)*100</f>
        <v>2.7222482577847007</v>
      </c>
      <c r="D49" s="603">
        <f>SUM(E49:G49)</f>
        <v>18.272183147339256</v>
      </c>
      <c r="E49" s="597">
        <f>('Pivot Table for Data Exchange'!$J$265)*100</f>
        <v>18.183107599352592</v>
      </c>
      <c r="F49" s="597">
        <f>('Pivot Table for Data Exchange'!$J$268)*100</f>
        <v>8.9075547986664838E-2</v>
      </c>
      <c r="G49" s="599">
        <f>('Pivot Table for Data Exchange'!$J$271)*100</f>
        <v>0</v>
      </c>
      <c r="H49" s="597">
        <f>('Pivot Table for Data Exchange'!$J$274)*100</f>
        <v>0</v>
      </c>
      <c r="I49" s="125" t="s">
        <v>218</v>
      </c>
      <c r="J49" s="597">
        <f>('Pivot Table for Data Exchange'!$J$277)*100</f>
        <v>49.931684774525166</v>
      </c>
      <c r="K49" s="597">
        <f>('Pivot Table for Data Exchange'!$J$280)*100</f>
        <v>9.8609136599319953</v>
      </c>
      <c r="L49" s="603">
        <f>SUM(M49:O49)</f>
        <v>40.207401565542838</v>
      </c>
      <c r="M49" s="597">
        <f>('Pivot Table for Data Exchange'!$J$283)*100</f>
        <v>39.504187117996828</v>
      </c>
      <c r="N49" s="597">
        <f>('Pivot Table for Data Exchange'!$J$286)*100</f>
        <v>0.70321444754601337</v>
      </c>
      <c r="O49" s="599">
        <f>('Pivot Table for Data Exchange'!$J$289)*100</f>
        <v>0</v>
      </c>
      <c r="P49" s="597">
        <f>('Pivot Table for Data Exchange'!$J$292)*100</f>
        <v>0</v>
      </c>
      <c r="Q49" s="602">
        <f t="shared" si="4"/>
        <v>100</v>
      </c>
      <c r="R49" s="602">
        <f t="shared" si="5"/>
        <v>100</v>
      </c>
      <c r="S49" s="136"/>
      <c r="U49" s="136"/>
      <c r="V49" s="136"/>
      <c r="W49" s="136"/>
      <c r="X49" s="136"/>
      <c r="Y49" s="136"/>
      <c r="Z49" s="136"/>
      <c r="AA49" s="136"/>
      <c r="AB49" s="136"/>
      <c r="AC49" s="136"/>
      <c r="AD49" s="136"/>
      <c r="AE49" s="136"/>
      <c r="AF49" s="136"/>
      <c r="AG49" s="136"/>
      <c r="AH49" s="136"/>
      <c r="AI49" s="136"/>
      <c r="AJ49" s="136"/>
      <c r="AK49" s="136"/>
      <c r="AL49" s="136"/>
      <c r="AM49" s="136"/>
      <c r="AN49" s="136"/>
      <c r="AO49" s="136"/>
    </row>
    <row r="50" spans="1:41" ht="12" customHeight="1">
      <c r="A50" s="102"/>
      <c r="B50" s="597"/>
      <c r="C50" s="597"/>
      <c r="D50" s="603"/>
      <c r="E50" s="597"/>
      <c r="F50" s="597"/>
      <c r="G50" s="599"/>
      <c r="H50" s="597"/>
      <c r="I50" s="125"/>
      <c r="J50" s="597"/>
      <c r="K50" s="597"/>
      <c r="L50" s="603"/>
      <c r="M50" s="597"/>
      <c r="N50" s="597"/>
      <c r="O50" s="599"/>
      <c r="P50" s="597"/>
      <c r="Q50" s="602">
        <f t="shared" si="4"/>
        <v>0</v>
      </c>
      <c r="R50" s="602">
        <f t="shared" si="5"/>
        <v>0</v>
      </c>
      <c r="S50" s="136"/>
      <c r="U50" s="136"/>
      <c r="V50" s="136"/>
      <c r="W50" s="136"/>
      <c r="X50" s="136"/>
      <c r="Y50" s="136"/>
      <c r="Z50" s="136"/>
      <c r="AA50" s="136"/>
      <c r="AB50" s="136"/>
      <c r="AC50" s="136"/>
      <c r="AD50" s="136"/>
      <c r="AE50" s="136"/>
      <c r="AF50" s="136"/>
      <c r="AG50" s="136"/>
      <c r="AH50" s="136"/>
      <c r="AI50" s="136"/>
      <c r="AJ50" s="136"/>
      <c r="AK50" s="136"/>
      <c r="AL50" s="136"/>
      <c r="AM50" s="136"/>
      <c r="AN50" s="136"/>
      <c r="AO50" s="136"/>
    </row>
    <row r="51" spans="1:41" ht="15.75" customHeight="1">
      <c r="A51" s="102" t="s">
        <v>183</v>
      </c>
      <c r="B51" s="597">
        <f>('Pivot Table for Data Exchange'!$J$295)*100</f>
        <v>85.844021326103345</v>
      </c>
      <c r="C51" s="597">
        <f>('Pivot Table for Data Exchange'!$J$298)*100</f>
        <v>5.1133352699360044</v>
      </c>
      <c r="D51" s="603">
        <f>SUM(E51:G51)</f>
        <v>8.9935828029682838</v>
      </c>
      <c r="E51" s="597">
        <f>('Pivot Table for Data Exchange'!$J$301)*100</f>
        <v>8.4482824388282971</v>
      </c>
      <c r="F51" s="597">
        <f>('Pivot Table for Data Exchange'!$J$304)*100</f>
        <v>0.52153296772622315</v>
      </c>
      <c r="G51" s="105">
        <f>('Pivot Table for Data Exchange'!$J$307)*100</f>
        <v>2.3767396413763964E-2</v>
      </c>
      <c r="H51" s="104">
        <f>('Pivot Table for Data Exchange'!$J$310)*100</f>
        <v>4.9060600992362161E-2</v>
      </c>
      <c r="I51" s="125" t="s">
        <v>183</v>
      </c>
      <c r="J51" s="597">
        <f>('Pivot Table for Data Exchange'!$J$313)*100</f>
        <v>72.456891216198471</v>
      </c>
      <c r="K51" s="597">
        <f>('Pivot Table for Data Exchange'!$J$316)*100</f>
        <v>6.0643002629476399</v>
      </c>
      <c r="L51" s="603">
        <f>SUM(M51:O51)</f>
        <v>21.478808520853885</v>
      </c>
      <c r="M51" s="597">
        <f>('Pivot Table for Data Exchange'!$J$319)*100</f>
        <v>20.533922496089545</v>
      </c>
      <c r="N51" s="597">
        <f>('Pivot Table for Data Exchange'!$J$322)*100</f>
        <v>0.85448605177180192</v>
      </c>
      <c r="O51" s="599">
        <f>('Pivot Table for Data Exchange'!$J$325)*100</f>
        <v>9.0399972992539185E-2</v>
      </c>
      <c r="P51" s="597">
        <f>('Pivot Table for Data Exchange'!$J$328)*100</f>
        <v>0</v>
      </c>
      <c r="Q51" s="602">
        <f t="shared" si="4"/>
        <v>100</v>
      </c>
      <c r="R51" s="602">
        <f t="shared" si="5"/>
        <v>100</v>
      </c>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row>
    <row r="52" spans="1:41" ht="15.75" customHeight="1">
      <c r="A52" s="102" t="s">
        <v>184</v>
      </c>
      <c r="B52" s="597">
        <f>('Pivot Table for Data Exchange'!$J$331)*100</f>
        <v>89.63676850478349</v>
      </c>
      <c r="C52" s="597">
        <f>('Pivot Table for Data Exchange'!$J$334)*100</f>
        <v>1.1832815741520115</v>
      </c>
      <c r="D52" s="603">
        <f>SUM(E52:G52)</f>
        <v>9.1799499210644946</v>
      </c>
      <c r="E52" s="597">
        <f>('Pivot Table for Data Exchange'!$J$337)*100</f>
        <v>9.1415586072344297</v>
      </c>
      <c r="F52" s="104">
        <f>('Pivot Table for Data Exchange'!$J$340)*100</f>
        <v>2.6835868822267846E-2</v>
      </c>
      <c r="G52" s="105">
        <f>('Pivot Table for Data Exchange'!$J$343)*100</f>
        <v>1.1555445007797422E-2</v>
      </c>
      <c r="H52" s="597">
        <f>('Pivot Table for Data Exchange'!$J$346)*100</f>
        <v>0</v>
      </c>
      <c r="I52" s="125" t="s">
        <v>184</v>
      </c>
      <c r="J52" s="597">
        <f>('Pivot Table for Data Exchange'!$J$349)*100</f>
        <v>74.930963744831161</v>
      </c>
      <c r="K52" s="597">
        <f>('Pivot Table for Data Exchange'!$J$352)*100</f>
        <v>6.569772770990701</v>
      </c>
      <c r="L52" s="603">
        <f>SUM(M52:O52)</f>
        <v>18.499263484178144</v>
      </c>
      <c r="M52" s="597">
        <f>('Pivot Table for Data Exchange'!$J$355)*100</f>
        <v>18.365386725674</v>
      </c>
      <c r="N52" s="597">
        <f>('Pivot Table for Data Exchange'!$J$358)*100</f>
        <v>0.10224724468204593</v>
      </c>
      <c r="O52" s="105">
        <f>('Pivot Table for Data Exchange'!$J$361)*100</f>
        <v>3.1629513822097541E-2</v>
      </c>
      <c r="P52" s="597">
        <f>('Pivot Table for Data Exchange'!$J$364)*100</f>
        <v>0</v>
      </c>
      <c r="Q52" s="602">
        <f t="shared" si="4"/>
        <v>99.999999999999986</v>
      </c>
      <c r="R52" s="602">
        <f t="shared" si="5"/>
        <v>100</v>
      </c>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row>
    <row r="53" spans="1:41" ht="15.75" customHeight="1">
      <c r="A53" s="102" t="s">
        <v>185</v>
      </c>
      <c r="B53" s="597">
        <f>('Pivot Table for Data Exchange'!$J$367)*100</f>
        <v>84.848840837558853</v>
      </c>
      <c r="C53" s="597">
        <f>('Pivot Table for Data Exchange'!$J$370)*100</f>
        <v>0.99339314884046548</v>
      </c>
      <c r="D53" s="603">
        <f>SUM(E53:G53)</f>
        <v>14.127838769230117</v>
      </c>
      <c r="E53" s="597">
        <f>('Pivot Table for Data Exchange'!$J$373)*100</f>
        <v>11.815999009158375</v>
      </c>
      <c r="F53" s="597">
        <f>('Pivot Table for Data Exchange'!$J$376)*100</f>
        <v>1.7812823425537243</v>
      </c>
      <c r="G53" s="599">
        <f>('Pivot Table for Data Exchange'!$J$379)*100</f>
        <v>0.53055741751801611</v>
      </c>
      <c r="H53" s="104">
        <f>('Pivot Table for Data Exchange'!$J$382)*100</f>
        <v>2.9927244370568391E-2</v>
      </c>
      <c r="I53" s="125" t="s">
        <v>185</v>
      </c>
      <c r="J53" s="597">
        <f>('Pivot Table for Data Exchange'!$J$385)*100</f>
        <v>67.420279054778717</v>
      </c>
      <c r="K53" s="597">
        <f>('Pivot Table for Data Exchange'!$J$388)*100</f>
        <v>10.227141123570613</v>
      </c>
      <c r="L53" s="603">
        <f>SUM(M53:O53)</f>
        <v>22.352579821650661</v>
      </c>
      <c r="M53" s="597">
        <f>('Pivot Table for Data Exchange'!$J$391)*100</f>
        <v>15.276511966324099</v>
      </c>
      <c r="N53" s="597">
        <f>('Pivot Table for Data Exchange'!$J$394)*100</f>
        <v>4.5710199950654333</v>
      </c>
      <c r="O53" s="599">
        <f>('Pivot Table for Data Exchange'!$J$397)*100</f>
        <v>2.5050478602611292</v>
      </c>
      <c r="P53" s="597">
        <f>('Pivot Table for Data Exchange'!$J$400)*100</f>
        <v>0</v>
      </c>
      <c r="Q53" s="602">
        <f t="shared" si="4"/>
        <v>100.00000000000001</v>
      </c>
      <c r="R53" s="602">
        <f t="shared" si="5"/>
        <v>100</v>
      </c>
      <c r="S53" s="136"/>
      <c r="T53" s="142"/>
      <c r="U53" s="136"/>
      <c r="V53" s="136"/>
      <c r="W53" s="136"/>
      <c r="X53" s="136"/>
      <c r="Y53" s="136"/>
      <c r="Z53" s="136"/>
      <c r="AA53" s="136"/>
      <c r="AB53" s="136"/>
      <c r="AC53" s="136"/>
      <c r="AD53" s="136"/>
      <c r="AE53" s="136"/>
      <c r="AF53" s="136"/>
      <c r="AG53" s="136"/>
      <c r="AH53" s="136"/>
      <c r="AI53" s="136"/>
      <c r="AJ53" s="136"/>
      <c r="AK53" s="136"/>
      <c r="AL53" s="136"/>
      <c r="AM53" s="136"/>
      <c r="AN53" s="136"/>
      <c r="AO53" s="136"/>
    </row>
    <row r="54" spans="1:41" ht="15.75" customHeight="1">
      <c r="A54" s="102" t="s">
        <v>186</v>
      </c>
      <c r="B54" s="597">
        <f>('Pivot Table for Data Exchange'!$J$403)*100</f>
        <v>93.971015512191499</v>
      </c>
      <c r="C54" s="597">
        <f>('Pivot Table for Data Exchange'!$J$406)*100</f>
        <v>2.3792915467446671</v>
      </c>
      <c r="D54" s="603">
        <f>SUM(E54:G54)</f>
        <v>3.6496929410638326</v>
      </c>
      <c r="E54" s="597">
        <f>('Pivot Table for Data Exchange'!$J$409)*100</f>
        <v>3.4145188172515732</v>
      </c>
      <c r="F54" s="597">
        <f>('Pivot Table for Data Exchange'!$J$412)*100</f>
        <v>0.15342200234079928</v>
      </c>
      <c r="G54" s="599">
        <f>('Pivot Table for Data Exchange'!$J$415)*100</f>
        <v>8.1752121471460021E-2</v>
      </c>
      <c r="H54" s="597">
        <f>('Pivot Table for Data Exchange'!$J$418)*100</f>
        <v>0</v>
      </c>
      <c r="I54" s="125" t="s">
        <v>186</v>
      </c>
      <c r="J54" s="597">
        <f>('Pivot Table for Data Exchange'!$J$421)*100</f>
        <v>67.974246242446242</v>
      </c>
      <c r="K54" s="597">
        <f>('Pivot Table for Data Exchange'!$J$424)*100</f>
        <v>14.85118972725606</v>
      </c>
      <c r="L54" s="603">
        <f>SUM(M54:O54)</f>
        <v>17.174564030297692</v>
      </c>
      <c r="M54" s="597">
        <f>('Pivot Table for Data Exchange'!$J$427)*100</f>
        <v>16.333360894119846</v>
      </c>
      <c r="N54" s="597">
        <f>('Pivot Table for Data Exchange'!$J$430)*100</f>
        <v>6.2551002433737277E-2</v>
      </c>
      <c r="O54" s="599">
        <f>('Pivot Table for Data Exchange'!$J$433)*100</f>
        <v>0.77865213374410891</v>
      </c>
      <c r="P54" s="597">
        <f>('Pivot Table for Data Exchange'!$J$436)*100</f>
        <v>0</v>
      </c>
      <c r="Q54" s="602">
        <f t="shared" si="4"/>
        <v>100</v>
      </c>
      <c r="R54" s="602">
        <f t="shared" si="5"/>
        <v>99.999999999999986</v>
      </c>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row>
    <row r="55" spans="1:41" ht="14.25" customHeight="1">
      <c r="A55" s="102"/>
      <c r="B55" s="597"/>
      <c r="C55" s="597"/>
      <c r="D55" s="603"/>
      <c r="E55" s="597"/>
      <c r="F55" s="597"/>
      <c r="G55" s="599"/>
      <c r="H55" s="597"/>
      <c r="I55" s="125"/>
      <c r="J55" s="597"/>
      <c r="K55" s="597"/>
      <c r="L55" s="603"/>
      <c r="M55" s="597"/>
      <c r="N55" s="597"/>
      <c r="O55" s="599"/>
      <c r="P55" s="597"/>
      <c r="Q55" s="602">
        <f t="shared" si="4"/>
        <v>0</v>
      </c>
      <c r="R55" s="602">
        <f t="shared" si="5"/>
        <v>0</v>
      </c>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row>
    <row r="56" spans="1:41" ht="15.75" customHeight="1">
      <c r="A56" s="102" t="s">
        <v>187</v>
      </c>
      <c r="B56" s="597">
        <f>('Pivot Table for Data Exchange'!$J$439)*100</f>
        <v>81.993622363496925</v>
      </c>
      <c r="C56" s="597">
        <f>('Pivot Table for Data Exchange'!$J$442)*100</f>
        <v>3.1484922630136962</v>
      </c>
      <c r="D56" s="603">
        <f>SUM(E56:G56)</f>
        <v>14.205476013811477</v>
      </c>
      <c r="E56" s="597">
        <f>('Pivot Table for Data Exchange'!$J$445)*100</f>
        <v>8.8699613946508471</v>
      </c>
      <c r="F56" s="597">
        <f>('Pivot Table for Data Exchange'!$J$448)*100</f>
        <v>0.3417651473815902</v>
      </c>
      <c r="G56" s="599">
        <f>('Pivot Table for Data Exchange'!$J$451)*100</f>
        <v>4.9937494717790401</v>
      </c>
      <c r="H56" s="597">
        <f>('Pivot Table for Data Exchange'!$J$454)*100</f>
        <v>0.65240935967790037</v>
      </c>
      <c r="I56" s="125" t="s">
        <v>187</v>
      </c>
      <c r="J56" s="597">
        <f>('Pivot Table for Data Exchange'!$J$457)*100</f>
        <v>64.176601404115331</v>
      </c>
      <c r="K56" s="597">
        <f>('Pivot Table for Data Exchange'!$J$460)*100</f>
        <v>5.1024130906947285</v>
      </c>
      <c r="L56" s="603">
        <f>SUM(M56:O56)</f>
        <v>26.045696187235372</v>
      </c>
      <c r="M56" s="597">
        <f>('Pivot Table for Data Exchange'!$J$463)*100</f>
        <v>21.995864888147501</v>
      </c>
      <c r="N56" s="597">
        <f>('Pivot Table for Data Exchange'!$J$466)*100</f>
        <v>0.55892361348442143</v>
      </c>
      <c r="O56" s="599">
        <f>('Pivot Table for Data Exchange'!$J$469)*100</f>
        <v>3.4909076856034482</v>
      </c>
      <c r="P56" s="597">
        <f>('Pivot Table for Data Exchange'!$J$472)*100</f>
        <v>4.6752893179545705</v>
      </c>
      <c r="Q56" s="602">
        <f t="shared" si="4"/>
        <v>100</v>
      </c>
      <c r="R56" s="602">
        <f t="shared" si="5"/>
        <v>100</v>
      </c>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row>
    <row r="57" spans="1:41" ht="15.75" customHeight="1">
      <c r="A57" s="102" t="s">
        <v>188</v>
      </c>
      <c r="B57" s="597">
        <f>('Pivot Table for Data Exchange'!$J$475)*100</f>
        <v>88.72997301288504</v>
      </c>
      <c r="C57" s="597">
        <f>('Pivot Table for Data Exchange'!$J$478)*100</f>
        <v>1.4211435228980562</v>
      </c>
      <c r="D57" s="603">
        <f>SUM(E57:G57)</f>
        <v>9.8488834642168932</v>
      </c>
      <c r="E57" s="597">
        <f>('Pivot Table for Data Exchange'!$J$481)*100</f>
        <v>9.4535383086637577</v>
      </c>
      <c r="F57" s="597">
        <f>('Pivot Table for Data Exchange'!$J$484)*100</f>
        <v>0.21319891486142997</v>
      </c>
      <c r="G57" s="599">
        <f>('Pivot Table for Data Exchange'!$J$487)*100</f>
        <v>0.18214624069170693</v>
      </c>
      <c r="H57" s="597">
        <f>('Pivot Table for Data Exchange'!$J$490)*100</f>
        <v>0</v>
      </c>
      <c r="I57" s="125" t="s">
        <v>188</v>
      </c>
      <c r="J57" s="597">
        <f>('Pivot Table for Data Exchange'!$J$493)*100</f>
        <v>72.968633726161585</v>
      </c>
      <c r="K57" s="597">
        <f>('Pivot Table for Data Exchange'!$J$496)*100</f>
        <v>3.9980934130338563</v>
      </c>
      <c r="L57" s="603">
        <f>SUM(M57:O57)</f>
        <v>23.033272860804562</v>
      </c>
      <c r="M57" s="597">
        <f>('Pivot Table for Data Exchange'!$J$499)*100</f>
        <v>22.15390826009348</v>
      </c>
      <c r="N57" s="597">
        <f>('Pivot Table for Data Exchange'!$J$502)*100</f>
        <v>0.23234096778743502</v>
      </c>
      <c r="O57" s="599">
        <f>('Pivot Table for Data Exchange'!$J$505)*100</f>
        <v>0.64702363292364407</v>
      </c>
      <c r="P57" s="597">
        <f>('Pivot Table for Data Exchange'!$J$508)*100</f>
        <v>0</v>
      </c>
      <c r="Q57" s="602">
        <f t="shared" si="4"/>
        <v>100</v>
      </c>
      <c r="R57" s="602">
        <f t="shared" si="5"/>
        <v>100</v>
      </c>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row>
    <row r="58" spans="1:41" ht="15.75" customHeight="1">
      <c r="A58" s="102" t="s">
        <v>189</v>
      </c>
      <c r="B58" s="597">
        <f>('Pivot Table for Data Exchange'!$J$511)*100</f>
        <v>94.203449272222002</v>
      </c>
      <c r="C58" s="597">
        <f>('Pivot Table for Data Exchange'!$J$514)*100</f>
        <v>1.9289050790323552</v>
      </c>
      <c r="D58" s="603">
        <f>SUM(E58:G58)</f>
        <v>3.8676456487456368</v>
      </c>
      <c r="E58" s="597">
        <f>('Pivot Table for Data Exchange'!$J$517)*100</f>
        <v>2.5236408796064</v>
      </c>
      <c r="F58" s="597">
        <f>('Pivot Table for Data Exchange'!$J$520)*100</f>
        <v>1.3440047691392367</v>
      </c>
      <c r="G58" s="599">
        <f>('Pivot Table for Data Exchange'!$J$523)*100</f>
        <v>0</v>
      </c>
      <c r="H58" s="597">
        <f>('Pivot Table for Data Exchange'!$J$526)*100</f>
        <v>0</v>
      </c>
      <c r="I58" s="125" t="s">
        <v>189</v>
      </c>
      <c r="J58" s="597">
        <f>('Pivot Table for Data Exchange'!$J$529)*100</f>
        <v>80.154218385342304</v>
      </c>
      <c r="K58" s="597">
        <f>('Pivot Table for Data Exchange'!$J$532)*100</f>
        <v>11.678840240347856</v>
      </c>
      <c r="L58" s="603">
        <f>SUM(M58:O58)</f>
        <v>8.1669413743098467</v>
      </c>
      <c r="M58" s="597">
        <f>('Pivot Table for Data Exchange'!$J$535)*100</f>
        <v>5.6116594752991276</v>
      </c>
      <c r="N58" s="597">
        <f>('Pivot Table for Data Exchange'!$J$538)*100</f>
        <v>2.5552818990107187</v>
      </c>
      <c r="O58" s="599">
        <f>('Pivot Table for Data Exchange'!$J$541)*100</f>
        <v>0</v>
      </c>
      <c r="P58" s="597">
        <f>('Pivot Table for Data Exchange'!$J$544)*100</f>
        <v>0</v>
      </c>
      <c r="Q58" s="602">
        <f t="shared" si="4"/>
        <v>100</v>
      </c>
      <c r="R58" s="602">
        <f t="shared" si="5"/>
        <v>100</v>
      </c>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row>
    <row r="59" spans="1:41" ht="15.75" customHeight="1">
      <c r="A59" s="76" t="s">
        <v>190</v>
      </c>
      <c r="B59" s="600">
        <f>('Pivot Table for Data Exchange'!$J$547)*100</f>
        <v>86.196622138866758</v>
      </c>
      <c r="C59" s="600">
        <f>('Pivot Table for Data Exchange'!$J$550)*100</f>
        <v>3.9181146005300378</v>
      </c>
      <c r="D59" s="604">
        <f>SUM(E59:G59)</f>
        <v>9.8852632606032103</v>
      </c>
      <c r="E59" s="600">
        <f>('Pivot Table for Data Exchange'!$J$553)*100</f>
        <v>9.3545051572923406</v>
      </c>
      <c r="F59" s="600">
        <f>('Pivot Table for Data Exchange'!$J$556)*100</f>
        <v>0.35558500937421622</v>
      </c>
      <c r="G59" s="601">
        <f>('Pivot Table for Data Exchange'!$J$559)*100</f>
        <v>0.17517309393665348</v>
      </c>
      <c r="H59" s="600">
        <f>('Pivot Table for Data Exchange'!$J$562)*100</f>
        <v>0</v>
      </c>
      <c r="I59" s="619" t="s">
        <v>190</v>
      </c>
      <c r="J59" s="600">
        <f>('Pivot Table for Data Exchange'!$J$565)*100</f>
        <v>52.386050444158947</v>
      </c>
      <c r="K59" s="600">
        <f>('Pivot Table for Data Exchange'!$J$568)*100</f>
        <v>21.638062610490717</v>
      </c>
      <c r="L59" s="604">
        <f>SUM(M59:O59)</f>
        <v>25.975886945350329</v>
      </c>
      <c r="M59" s="600">
        <f>('Pivot Table for Data Exchange'!$J$571)*100</f>
        <v>25.344511425151804</v>
      </c>
      <c r="N59" s="600">
        <f>('Pivot Table for Data Exchange'!$J$574)*100</f>
        <v>0.53145348134971615</v>
      </c>
      <c r="O59" s="601">
        <f>('Pivot Table for Data Exchange'!$J$577)*100</f>
        <v>9.9922038848810263E-2</v>
      </c>
      <c r="P59" s="600">
        <f>('Pivot Table for Data Exchange'!$J$580)*100</f>
        <v>0</v>
      </c>
      <c r="Q59" s="602">
        <f t="shared" si="4"/>
        <v>100</v>
      </c>
      <c r="R59" s="602">
        <f t="shared" si="5"/>
        <v>99.999999999999986</v>
      </c>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row>
    <row r="60" spans="1:41" s="141" customFormat="1" ht="18" customHeight="1">
      <c r="A60" s="43" t="s">
        <v>219</v>
      </c>
      <c r="B60" s="106"/>
      <c r="C60" s="106"/>
      <c r="D60" s="107"/>
      <c r="E60" s="106"/>
      <c r="F60" s="107"/>
      <c r="G60" s="107"/>
      <c r="H60" s="106"/>
      <c r="I60" s="43" t="s">
        <v>219</v>
      </c>
      <c r="J60" s="106"/>
      <c r="K60" s="106"/>
      <c r="L60" s="107"/>
      <c r="M60" s="106"/>
      <c r="N60" s="107"/>
      <c r="O60" s="107"/>
      <c r="P60" s="106"/>
      <c r="Q60" s="602">
        <f t="shared" si="4"/>
        <v>0</v>
      </c>
      <c r="R60" s="602">
        <f t="shared" si="5"/>
        <v>0</v>
      </c>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row>
    <row r="61" spans="1:41" s="141" customFormat="1" ht="24" customHeight="1">
      <c r="A61" s="658" t="s">
        <v>223</v>
      </c>
      <c r="B61" s="659"/>
      <c r="C61" s="659"/>
      <c r="D61" s="659"/>
      <c r="E61" s="659"/>
      <c r="F61" s="659"/>
      <c r="G61" s="659"/>
      <c r="H61" s="659"/>
      <c r="I61" s="658" t="s">
        <v>223</v>
      </c>
      <c r="J61" s="659"/>
      <c r="K61" s="659"/>
      <c r="L61" s="659"/>
      <c r="M61" s="659"/>
      <c r="N61" s="659"/>
      <c r="O61" s="659"/>
      <c r="P61" s="659"/>
      <c r="Q61" s="602">
        <f t="shared" si="4"/>
        <v>0</v>
      </c>
      <c r="R61" s="602">
        <f t="shared" si="5"/>
        <v>0</v>
      </c>
    </row>
    <row r="62" spans="1:41" s="141" customFormat="1" ht="13.5" customHeight="1">
      <c r="A62" s="655"/>
      <c r="B62" s="656"/>
      <c r="C62" s="656"/>
      <c r="D62" s="656"/>
      <c r="E62" s="656"/>
      <c r="F62" s="656"/>
      <c r="G62" s="656"/>
      <c r="H62" s="656"/>
      <c r="I62" s="655"/>
      <c r="J62" s="656"/>
      <c r="K62" s="656"/>
      <c r="L62" s="656"/>
      <c r="M62" s="656"/>
      <c r="N62" s="656"/>
      <c r="O62" s="656"/>
      <c r="P62" s="656"/>
      <c r="Q62" s="602">
        <f t="shared" si="4"/>
        <v>0</v>
      </c>
      <c r="R62" s="602">
        <f t="shared" si="5"/>
        <v>0</v>
      </c>
    </row>
    <row r="63" spans="1:41" s="141" customFormat="1" ht="13.5" customHeight="1">
      <c r="A63" s="45"/>
      <c r="B63" s="45"/>
      <c r="C63" s="45"/>
      <c r="D63" s="45"/>
      <c r="E63" s="45"/>
      <c r="F63" s="45"/>
      <c r="G63" s="45"/>
      <c r="H63" s="49" t="s">
        <v>900</v>
      </c>
      <c r="I63" s="45"/>
      <c r="J63" s="45"/>
      <c r="K63" s="45"/>
      <c r="L63" s="45"/>
      <c r="M63" s="45"/>
      <c r="N63" s="45"/>
      <c r="O63" s="45"/>
      <c r="P63" s="49" t="s">
        <v>900</v>
      </c>
      <c r="Q63" s="602">
        <f t="shared" si="4"/>
        <v>0</v>
      </c>
      <c r="R63" s="602">
        <f t="shared" si="5"/>
        <v>0</v>
      </c>
    </row>
    <row r="64" spans="1:41" ht="18">
      <c r="A64" s="16" t="s">
        <v>267</v>
      </c>
      <c r="B64" s="71"/>
      <c r="C64" s="71"/>
      <c r="D64" s="71"/>
      <c r="E64" s="71"/>
      <c r="F64" s="71"/>
      <c r="G64" s="71"/>
      <c r="H64" s="72"/>
      <c r="I64" s="16" t="s">
        <v>282</v>
      </c>
      <c r="J64" s="23"/>
      <c r="K64" s="23"/>
      <c r="L64" s="71"/>
      <c r="M64" s="23"/>
      <c r="N64" s="23"/>
      <c r="O64" s="23"/>
      <c r="P64" s="23"/>
      <c r="Q64" s="602">
        <f t="shared" si="4"/>
        <v>0</v>
      </c>
      <c r="R64" s="602">
        <f t="shared" si="5"/>
        <v>0</v>
      </c>
    </row>
    <row r="65" spans="1:41">
      <c r="A65" s="22"/>
      <c r="B65" s="23"/>
      <c r="C65" s="23"/>
      <c r="D65" s="23"/>
      <c r="E65" s="23"/>
      <c r="F65" s="23"/>
      <c r="G65" s="23"/>
      <c r="H65" s="73"/>
      <c r="I65" s="22"/>
      <c r="J65" s="23"/>
      <c r="K65" s="23"/>
      <c r="L65" s="23"/>
      <c r="M65" s="23"/>
      <c r="N65" s="23"/>
      <c r="O65" s="23"/>
      <c r="P65" s="23"/>
      <c r="Q65" s="602">
        <f t="shared" si="4"/>
        <v>0</v>
      </c>
      <c r="R65" s="602">
        <f t="shared" si="5"/>
        <v>0</v>
      </c>
    </row>
    <row r="66" spans="1:41" ht="15.75">
      <c r="A66" s="74" t="s">
        <v>205</v>
      </c>
      <c r="B66" s="23"/>
      <c r="C66" s="23"/>
      <c r="D66" s="23"/>
      <c r="E66" s="23"/>
      <c r="F66" s="23"/>
      <c r="G66" s="23"/>
      <c r="H66" s="73"/>
      <c r="I66" s="74" t="s">
        <v>206</v>
      </c>
      <c r="J66" s="23"/>
      <c r="K66" s="23"/>
      <c r="L66" s="23"/>
      <c r="M66" s="23"/>
      <c r="N66" s="23"/>
      <c r="O66" s="23"/>
      <c r="P66" s="23"/>
      <c r="Q66" s="602">
        <f t="shared" si="4"/>
        <v>0</v>
      </c>
      <c r="R66" s="602">
        <f t="shared" si="5"/>
        <v>0</v>
      </c>
    </row>
    <row r="67" spans="1:41" ht="15.75">
      <c r="A67" s="74" t="s">
        <v>883</v>
      </c>
      <c r="B67" s="23"/>
      <c r="C67" s="23"/>
      <c r="D67" s="23"/>
      <c r="E67" s="23"/>
      <c r="F67" s="23"/>
      <c r="G67" s="23"/>
      <c r="H67" s="73"/>
      <c r="I67" s="74" t="s">
        <v>883</v>
      </c>
      <c r="J67" s="23"/>
      <c r="K67" s="23"/>
      <c r="L67" s="23"/>
      <c r="M67" s="23"/>
      <c r="N67" s="23"/>
      <c r="O67" s="23"/>
      <c r="P67" s="23"/>
      <c r="Q67" s="602">
        <f t="shared" si="4"/>
        <v>0</v>
      </c>
      <c r="R67" s="602">
        <f t="shared" si="5"/>
        <v>0</v>
      </c>
    </row>
    <row r="68" spans="1:41">
      <c r="A68" s="76"/>
      <c r="B68" s="77"/>
      <c r="C68" s="77"/>
      <c r="D68" s="77"/>
      <c r="E68" s="77"/>
      <c r="F68" s="77"/>
      <c r="G68" s="77"/>
      <c r="H68" s="77"/>
      <c r="I68" s="78"/>
      <c r="L68" s="79"/>
      <c r="P68" s="76"/>
      <c r="Q68" s="602">
        <f t="shared" si="4"/>
        <v>0</v>
      </c>
      <c r="R68" s="602">
        <f t="shared" si="5"/>
        <v>0</v>
      </c>
    </row>
    <row r="69" spans="1:41" s="94" customFormat="1">
      <c r="A69" s="80"/>
      <c r="B69" s="81" t="s">
        <v>207</v>
      </c>
      <c r="C69" s="81"/>
      <c r="D69" s="81"/>
      <c r="E69" s="81"/>
      <c r="F69" s="81"/>
      <c r="G69" s="81"/>
      <c r="H69" s="82"/>
      <c r="I69" s="80"/>
      <c r="J69" s="81" t="s">
        <v>207</v>
      </c>
      <c r="K69" s="81"/>
      <c r="L69" s="81"/>
      <c r="M69" s="81"/>
      <c r="N69" s="81"/>
      <c r="O69" s="81"/>
      <c r="P69" s="82"/>
      <c r="Q69" s="602">
        <f t="shared" si="4"/>
        <v>0</v>
      </c>
      <c r="R69" s="602">
        <f t="shared" si="5"/>
        <v>0</v>
      </c>
    </row>
    <row r="70" spans="1:41" s="94" customFormat="1">
      <c r="A70" s="80"/>
      <c r="B70" s="81" t="s">
        <v>208</v>
      </c>
      <c r="C70" s="81"/>
      <c r="D70" s="653" t="s">
        <v>209</v>
      </c>
      <c r="E70" s="654"/>
      <c r="F70" s="654"/>
      <c r="G70" s="654"/>
      <c r="H70" s="86" t="s">
        <v>39</v>
      </c>
      <c r="I70" s="80"/>
      <c r="J70" s="81" t="s">
        <v>208</v>
      </c>
      <c r="K70" s="81"/>
      <c r="L70" s="653" t="s">
        <v>209</v>
      </c>
      <c r="M70" s="654"/>
      <c r="N70" s="654"/>
      <c r="O70" s="654"/>
      <c r="P70" s="86" t="s">
        <v>39</v>
      </c>
      <c r="Q70" s="602">
        <f t="shared" si="4"/>
        <v>0</v>
      </c>
      <c r="R70" s="602">
        <f t="shared" si="5"/>
        <v>0</v>
      </c>
    </row>
    <row r="71" spans="1:41" s="94" customFormat="1" ht="40.5" customHeight="1">
      <c r="A71" s="80"/>
      <c r="B71" s="87" t="s">
        <v>210</v>
      </c>
      <c r="C71" s="88" t="s">
        <v>211</v>
      </c>
      <c r="D71" s="89" t="s">
        <v>212</v>
      </c>
      <c r="E71" s="90" t="s">
        <v>7</v>
      </c>
      <c r="F71" s="87" t="s">
        <v>213</v>
      </c>
      <c r="G71" s="91" t="s">
        <v>214</v>
      </c>
      <c r="H71" s="92" t="s">
        <v>215</v>
      </c>
      <c r="I71" s="80"/>
      <c r="J71" s="87" t="s">
        <v>210</v>
      </c>
      <c r="K71" s="88" t="s">
        <v>211</v>
      </c>
      <c r="L71" s="89" t="s">
        <v>212</v>
      </c>
      <c r="M71" s="90" t="s">
        <v>7</v>
      </c>
      <c r="N71" s="87" t="s">
        <v>213</v>
      </c>
      <c r="O71" s="91" t="s">
        <v>214</v>
      </c>
      <c r="P71" s="92" t="s">
        <v>215</v>
      </c>
      <c r="Q71" s="602">
        <f t="shared" si="4"/>
        <v>0</v>
      </c>
      <c r="R71" s="602">
        <f t="shared" si="5"/>
        <v>0</v>
      </c>
      <c r="T71" s="93"/>
    </row>
    <row r="72" spans="1:41" ht="15.75" customHeight="1">
      <c r="A72" s="99" t="s">
        <v>175</v>
      </c>
      <c r="B72" s="120">
        <f>('Pivot Table for Data Exchange'!$D$7)*100</f>
        <v>98.364031869843345</v>
      </c>
      <c r="C72" s="597">
        <f>('Pivot Table for Data Exchange'!$D$10)*100</f>
        <v>0</v>
      </c>
      <c r="D72" s="603">
        <f>SUM(E72:G72)</f>
        <v>1.6359681301566464</v>
      </c>
      <c r="E72" s="597">
        <f>('Pivot Table for Data Exchange'!$D$13)*100</f>
        <v>1.6359681301566464</v>
      </c>
      <c r="F72" s="597">
        <f>('Pivot Table for Data Exchange'!$D$16)*100</f>
        <v>0</v>
      </c>
      <c r="G72" s="97">
        <f>('Pivot Table for Data Exchange'!$D$19)*100</f>
        <v>0</v>
      </c>
      <c r="H72" s="597">
        <f>('Pivot Table for Data Exchange'!$D$22)*100</f>
        <v>0</v>
      </c>
      <c r="I72" s="618" t="s">
        <v>175</v>
      </c>
      <c r="J72" s="597">
        <f>('Pivot Table for Data Exchange'!$D$25)*100</f>
        <v>83.137728684846394</v>
      </c>
      <c r="K72" s="597">
        <f>('Pivot Table for Data Exchange'!$D$28)*100</f>
        <v>0</v>
      </c>
      <c r="L72" s="603">
        <f>SUM(M72:O72)</f>
        <v>16.862271315153606</v>
      </c>
      <c r="M72" s="597">
        <f>('Pivot Table for Data Exchange'!$D$31)*100</f>
        <v>16.862271315153606</v>
      </c>
      <c r="N72" s="597">
        <f>('Pivot Table for Data Exchange'!$D$34)*100</f>
        <v>0</v>
      </c>
      <c r="O72" s="97">
        <f>('Pivot Table for Data Exchange'!$D$37)*100</f>
        <v>0</v>
      </c>
      <c r="P72" s="597">
        <f>('Pivot Table for Data Exchange'!$D$40)*100</f>
        <v>0</v>
      </c>
      <c r="Q72" s="602">
        <f t="shared" si="4"/>
        <v>99.999999999999986</v>
      </c>
      <c r="R72" s="602">
        <f t="shared" si="5"/>
        <v>100</v>
      </c>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row>
    <row r="73" spans="1:41" ht="15.75" customHeight="1">
      <c r="A73" s="102" t="s">
        <v>176</v>
      </c>
      <c r="B73" s="597">
        <f>('Pivot Table for Data Exchange'!$D$43)*100</f>
        <v>0</v>
      </c>
      <c r="C73" s="597">
        <f>('Pivot Table for Data Exchange'!$D$46)*100</f>
        <v>0</v>
      </c>
      <c r="D73" s="603">
        <f t="shared" ref="D73:D75" si="10">SUM(E73:G73)</f>
        <v>0</v>
      </c>
      <c r="E73" s="597">
        <f>('Pivot Table for Data Exchange'!$D$49)*100</f>
        <v>0</v>
      </c>
      <c r="F73" s="597">
        <f>('Pivot Table for Data Exchange'!$D$52)*100</f>
        <v>0</v>
      </c>
      <c r="G73" s="599">
        <f>('Pivot Table for Data Exchange'!$D$55)*100</f>
        <v>0</v>
      </c>
      <c r="H73" s="597">
        <f>('Pivot Table for Data Exchange'!$D$58)*100</f>
        <v>0</v>
      </c>
      <c r="I73" s="125" t="s">
        <v>176</v>
      </c>
      <c r="J73" s="597">
        <f>('Pivot Table for Data Exchange'!$D$61)*100</f>
        <v>0</v>
      </c>
      <c r="K73" s="597">
        <f>('Pivot Table for Data Exchange'!$D$64)*100</f>
        <v>0</v>
      </c>
      <c r="L73" s="603">
        <f t="shared" ref="L73:L75" si="11">SUM(M73:O73)</f>
        <v>0</v>
      </c>
      <c r="M73" s="597">
        <f>('Pivot Table for Data Exchange'!$D$67)*100</f>
        <v>0</v>
      </c>
      <c r="N73" s="597">
        <f>('Pivot Table for Data Exchange'!$D$70)*100</f>
        <v>0</v>
      </c>
      <c r="O73" s="599">
        <f>('Pivot Table for Data Exchange'!$D$73)*100</f>
        <v>0</v>
      </c>
      <c r="P73" s="597">
        <f>('Pivot Table for Data Exchange'!$D$76)*100</f>
        <v>0</v>
      </c>
      <c r="Q73" s="602">
        <f t="shared" si="4"/>
        <v>0</v>
      </c>
      <c r="R73" s="602">
        <f t="shared" si="5"/>
        <v>0</v>
      </c>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row>
    <row r="74" spans="1:41" ht="15.75" customHeight="1">
      <c r="A74" s="102" t="s">
        <v>177</v>
      </c>
      <c r="B74" s="597">
        <f>('Pivot Table for Data Exchange'!$D$79)*100</f>
        <v>0</v>
      </c>
      <c r="C74" s="597">
        <f>('Pivot Table for Data Exchange'!$D$82)*100</f>
        <v>0</v>
      </c>
      <c r="D74" s="603">
        <f t="shared" si="10"/>
        <v>0</v>
      </c>
      <c r="E74" s="597">
        <f>('Pivot Table for Data Exchange'!$D$85)*100</f>
        <v>0</v>
      </c>
      <c r="F74" s="597">
        <f>('Pivot Table for Data Exchange'!$D$88)*100</f>
        <v>0</v>
      </c>
      <c r="G74" s="599">
        <f>('Pivot Table for Data Exchange'!$D$91)*100</f>
        <v>0</v>
      </c>
      <c r="H74" s="597">
        <f>('Pivot Table for Data Exchange'!$D$94)*100</f>
        <v>0</v>
      </c>
      <c r="I74" s="125" t="s">
        <v>177</v>
      </c>
      <c r="J74" s="597">
        <f>('Pivot Table for Data Exchange'!$D$97)*100</f>
        <v>0</v>
      </c>
      <c r="K74" s="597">
        <f>('Pivot Table for Data Exchange'!$D$100)*100</f>
        <v>0</v>
      </c>
      <c r="L74" s="603">
        <f t="shared" si="11"/>
        <v>0</v>
      </c>
      <c r="M74" s="597">
        <f>('Pivot Table for Data Exchange'!$D$103)*100</f>
        <v>0</v>
      </c>
      <c r="N74" s="597">
        <f>('Pivot Table for Data Exchange'!$D$106)*100</f>
        <v>0</v>
      </c>
      <c r="O74" s="599">
        <f>('Pivot Table for Data Exchange'!$D$109)*100</f>
        <v>0</v>
      </c>
      <c r="P74" s="597">
        <f>('Pivot Table for Data Exchange'!$D$112)*100</f>
        <v>0</v>
      </c>
      <c r="Q74" s="602">
        <f t="shared" si="4"/>
        <v>0</v>
      </c>
      <c r="R74" s="602">
        <f t="shared" si="5"/>
        <v>0</v>
      </c>
      <c r="S74" s="136"/>
      <c r="T74" s="142"/>
      <c r="U74" s="136"/>
      <c r="V74" s="136"/>
      <c r="W74" s="136"/>
      <c r="X74" s="136"/>
      <c r="Y74" s="136"/>
      <c r="Z74" s="136"/>
      <c r="AA74" s="136"/>
      <c r="AB74" s="136"/>
      <c r="AC74" s="136"/>
      <c r="AD74" s="136"/>
      <c r="AE74" s="136"/>
      <c r="AF74" s="136"/>
      <c r="AG74" s="136"/>
      <c r="AH74" s="136"/>
      <c r="AI74" s="136"/>
      <c r="AJ74" s="136"/>
      <c r="AK74" s="136"/>
      <c r="AL74" s="136"/>
      <c r="AM74" s="136"/>
      <c r="AN74" s="136"/>
      <c r="AO74" s="136"/>
    </row>
    <row r="75" spans="1:41" ht="15.75" customHeight="1">
      <c r="A75" s="102" t="s">
        <v>217</v>
      </c>
      <c r="B75" s="597">
        <f>('Pivot Table for Data Exchange'!$D$115)*100</f>
        <v>75.568347627139275</v>
      </c>
      <c r="C75" s="597">
        <f>('Pivot Table for Data Exchange'!$D$118)*100</f>
        <v>16.966133435165929</v>
      </c>
      <c r="D75" s="603">
        <f t="shared" si="10"/>
        <v>7.4655189376947924</v>
      </c>
      <c r="E75" s="597">
        <f>('Pivot Table for Data Exchange'!$D$121)*100</f>
        <v>7.233894246402647</v>
      </c>
      <c r="F75" s="597">
        <f>('Pivot Table for Data Exchange'!$D$124)*100</f>
        <v>0</v>
      </c>
      <c r="G75" s="599">
        <f>('Pivot Table for Data Exchange'!$D$127)*100</f>
        <v>0.23162469129214561</v>
      </c>
      <c r="H75" s="597">
        <f>('Pivot Table for Data Exchange'!$D$130)*100</f>
        <v>0</v>
      </c>
      <c r="I75" s="125" t="s">
        <v>217</v>
      </c>
      <c r="J75" s="597">
        <f>('Pivot Table for Data Exchange'!$D$133)*100</f>
        <v>60.011711092441253</v>
      </c>
      <c r="K75" s="597">
        <f>('Pivot Table for Data Exchange'!$D$136)*100</f>
        <v>15.949998727055171</v>
      </c>
      <c r="L75" s="603">
        <f t="shared" si="11"/>
        <v>24.038290180503573</v>
      </c>
      <c r="M75" s="597">
        <f>('Pivot Table for Data Exchange'!$D$139)*100</f>
        <v>22.552763563227167</v>
      </c>
      <c r="N75" s="597">
        <f>('Pivot Table for Data Exchange'!$D$142)*100</f>
        <v>0</v>
      </c>
      <c r="O75" s="599">
        <f>('Pivot Table for Data Exchange'!$D$145)*100</f>
        <v>1.4855266172764072</v>
      </c>
      <c r="P75" s="597">
        <f>('Pivot Table for Data Exchange'!$D$148)*100</f>
        <v>0</v>
      </c>
      <c r="Q75" s="602">
        <f t="shared" si="4"/>
        <v>100</v>
      </c>
      <c r="R75" s="602">
        <f t="shared" si="5"/>
        <v>100</v>
      </c>
      <c r="S75" s="136"/>
      <c r="U75" s="136"/>
      <c r="V75" s="136"/>
      <c r="W75" s="136"/>
      <c r="X75" s="136"/>
      <c r="Y75" s="136"/>
      <c r="Z75" s="136"/>
      <c r="AA75" s="136"/>
      <c r="AB75" s="136"/>
      <c r="AC75" s="136"/>
      <c r="AD75" s="136"/>
      <c r="AE75" s="136"/>
      <c r="AF75" s="136"/>
      <c r="AG75" s="136"/>
      <c r="AH75" s="136"/>
      <c r="AI75" s="136"/>
      <c r="AJ75" s="136"/>
      <c r="AK75" s="136"/>
      <c r="AL75" s="136"/>
      <c r="AM75" s="136"/>
      <c r="AN75" s="136"/>
      <c r="AO75" s="136"/>
    </row>
    <row r="76" spans="1:41" ht="9" customHeight="1">
      <c r="A76" s="102"/>
      <c r="B76" s="597"/>
      <c r="C76" s="597"/>
      <c r="D76" s="603"/>
      <c r="E76" s="597"/>
      <c r="F76" s="597"/>
      <c r="G76" s="599"/>
      <c r="H76" s="597"/>
      <c r="I76" s="125"/>
      <c r="J76" s="597"/>
      <c r="K76" s="597"/>
      <c r="L76" s="603"/>
      <c r="M76" s="597"/>
      <c r="N76" s="597"/>
      <c r="O76" s="599"/>
      <c r="P76" s="597"/>
      <c r="Q76" s="602">
        <f t="shared" si="4"/>
        <v>0</v>
      </c>
      <c r="R76" s="602">
        <f t="shared" si="5"/>
        <v>0</v>
      </c>
      <c r="S76" s="136"/>
      <c r="U76" s="136"/>
      <c r="V76" s="136"/>
      <c r="W76" s="136"/>
      <c r="X76" s="136"/>
      <c r="Y76" s="136"/>
      <c r="Z76" s="136"/>
      <c r="AA76" s="136"/>
      <c r="AB76" s="136"/>
      <c r="AC76" s="136"/>
      <c r="AD76" s="136"/>
      <c r="AE76" s="136"/>
      <c r="AF76" s="136"/>
      <c r="AG76" s="136"/>
      <c r="AH76" s="136"/>
      <c r="AI76" s="136"/>
      <c r="AJ76" s="136"/>
      <c r="AK76" s="136"/>
      <c r="AL76" s="136"/>
      <c r="AM76" s="136"/>
      <c r="AN76" s="136"/>
      <c r="AO76" s="136"/>
    </row>
    <row r="77" spans="1:41" ht="15.75" customHeight="1">
      <c r="A77" s="102" t="s">
        <v>179</v>
      </c>
      <c r="B77" s="597">
        <f>('Pivot Table for Data Exchange'!$D$151)*100</f>
        <v>0</v>
      </c>
      <c r="C77" s="597">
        <f>('Pivot Table for Data Exchange'!$D$154)*100</f>
        <v>0</v>
      </c>
      <c r="D77" s="603">
        <f t="shared" ref="D77:D78" si="12">SUM(E77:G77)</f>
        <v>0</v>
      </c>
      <c r="E77" s="597">
        <f>('Pivot Table for Data Exchange'!$D$157)*100</f>
        <v>0</v>
      </c>
      <c r="F77" s="597">
        <f>('Pivot Table for Data Exchange'!$D$160)*100</f>
        <v>0</v>
      </c>
      <c r="G77" s="599">
        <f>('Pivot Table for Data Exchange'!$D$163)*100</f>
        <v>0</v>
      </c>
      <c r="H77" s="597">
        <f>('Pivot Table for Data Exchange'!$D$166)*100</f>
        <v>0</v>
      </c>
      <c r="I77" s="125" t="s">
        <v>179</v>
      </c>
      <c r="J77" s="597">
        <f>('Pivot Table for Data Exchange'!$D$169)*100</f>
        <v>0</v>
      </c>
      <c r="K77" s="597">
        <f>('Pivot Table for Data Exchange'!$D$172)*100</f>
        <v>0</v>
      </c>
      <c r="L77" s="603">
        <f t="shared" ref="L77:L78" si="13">SUM(M77:O77)</f>
        <v>0</v>
      </c>
      <c r="M77" s="597">
        <f>('Pivot Table for Data Exchange'!$D$175)*100</f>
        <v>0</v>
      </c>
      <c r="N77" s="597">
        <f>('Pivot Table for Data Exchange'!$D$178)*100</f>
        <v>0</v>
      </c>
      <c r="O77" s="599">
        <f>('Pivot Table for Data Exchange'!$D$181)*100</f>
        <v>0</v>
      </c>
      <c r="P77" s="597">
        <f>('Pivot Table for Data Exchange'!$D$184)*100</f>
        <v>0</v>
      </c>
      <c r="Q77" s="602">
        <f t="shared" si="4"/>
        <v>0</v>
      </c>
      <c r="R77" s="602">
        <f t="shared" si="5"/>
        <v>0</v>
      </c>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row>
    <row r="78" spans="1:41" ht="15.75" customHeight="1">
      <c r="A78" s="102" t="s">
        <v>180</v>
      </c>
      <c r="B78" s="597">
        <f>('Pivot Table for Data Exchange'!$D$187)*100</f>
        <v>0</v>
      </c>
      <c r="C78" s="597">
        <f>('Pivot Table for Data Exchange'!$D$190)*100</f>
        <v>0</v>
      </c>
      <c r="D78" s="603">
        <f t="shared" si="12"/>
        <v>0</v>
      </c>
      <c r="E78" s="597">
        <f>('Pivot Table for Data Exchange'!$D$193)*100</f>
        <v>0</v>
      </c>
      <c r="F78" s="597">
        <f>('Pivot Table for Data Exchange'!$D$196)*100</f>
        <v>0</v>
      </c>
      <c r="G78" s="599">
        <f>('Pivot Table for Data Exchange'!$D$199)*100</f>
        <v>0</v>
      </c>
      <c r="H78" s="597">
        <f>('Pivot Table for Data Exchange'!$D$202)*100</f>
        <v>0</v>
      </c>
      <c r="I78" s="125" t="s">
        <v>180</v>
      </c>
      <c r="J78" s="597">
        <f>('Pivot Table for Data Exchange'!$D$205)*100</f>
        <v>0</v>
      </c>
      <c r="K78" s="597">
        <f>('Pivot Table for Data Exchange'!$D$208)*100</f>
        <v>0</v>
      </c>
      <c r="L78" s="603">
        <f t="shared" si="13"/>
        <v>0</v>
      </c>
      <c r="M78" s="597">
        <f>('Pivot Table for Data Exchange'!$D$211)*100</f>
        <v>0</v>
      </c>
      <c r="N78" s="597">
        <f>('Pivot Table for Data Exchange'!$D$214)*100</f>
        <v>0</v>
      </c>
      <c r="O78" s="599">
        <f>('Pivot Table for Data Exchange'!$D$217)*100</f>
        <v>0</v>
      </c>
      <c r="P78" s="597">
        <f>('Pivot Table for Data Exchange'!$D$220)*100</f>
        <v>0</v>
      </c>
      <c r="Q78" s="602">
        <f t="shared" si="4"/>
        <v>0</v>
      </c>
      <c r="R78" s="602">
        <f t="shared" si="5"/>
        <v>0</v>
      </c>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row>
    <row r="79" spans="1:41" ht="15.75" customHeight="1">
      <c r="A79" s="598" t="s">
        <v>181</v>
      </c>
      <c r="B79" s="597">
        <f>('Pivot Table for Data Exchange'!$D$223)*100</f>
        <v>0</v>
      </c>
      <c r="C79" s="597">
        <f>('Pivot Table for Data Exchange'!$D$226)*100</f>
        <v>0</v>
      </c>
      <c r="D79" s="603">
        <f>SUM(E79:G79)</f>
        <v>0</v>
      </c>
      <c r="E79" s="597">
        <f>('Pivot Table for Data Exchange'!$D$229)*100</f>
        <v>0</v>
      </c>
      <c r="F79" s="597">
        <f>('Pivot Table for Data Exchange'!$D$232)*100</f>
        <v>0</v>
      </c>
      <c r="G79" s="599">
        <f>('Pivot Table for Data Exchange'!$D$235)*100</f>
        <v>0</v>
      </c>
      <c r="H79" s="597">
        <f>('Pivot Table for Data Exchange'!$D$238)*100</f>
        <v>0</v>
      </c>
      <c r="I79" s="125" t="s">
        <v>181</v>
      </c>
      <c r="J79" s="597">
        <f>('Pivot Table for Data Exchange'!$D$241)*100</f>
        <v>0</v>
      </c>
      <c r="K79" s="597">
        <f>('Pivot Table for Data Exchange'!$D$244)*100</f>
        <v>0</v>
      </c>
      <c r="L79" s="603">
        <f>SUM(M79:O79)</f>
        <v>0</v>
      </c>
      <c r="M79" s="597">
        <f>('Pivot Table for Data Exchange'!$D$247)*100</f>
        <v>0</v>
      </c>
      <c r="N79" s="597">
        <f>('Pivot Table for Data Exchange'!$D$250)*100</f>
        <v>0</v>
      </c>
      <c r="O79" s="599">
        <f>('Pivot Table for Data Exchange'!$D$253)*100</f>
        <v>0</v>
      </c>
      <c r="P79" s="597">
        <f>('Pivot Table for Data Exchange'!$D$256)*100</f>
        <v>0</v>
      </c>
      <c r="Q79" s="602">
        <f t="shared" si="4"/>
        <v>0</v>
      </c>
      <c r="R79" s="602">
        <f t="shared" si="5"/>
        <v>0</v>
      </c>
      <c r="S79" s="136"/>
      <c r="T79" s="142"/>
      <c r="U79" s="136"/>
      <c r="V79" s="136"/>
      <c r="W79" s="136"/>
      <c r="X79" s="136"/>
      <c r="Y79" s="136"/>
      <c r="Z79" s="136"/>
      <c r="AA79" s="136"/>
      <c r="AB79" s="136"/>
      <c r="AC79" s="136"/>
      <c r="AD79" s="136"/>
      <c r="AE79" s="136"/>
      <c r="AF79" s="136"/>
      <c r="AG79" s="136"/>
      <c r="AH79" s="136"/>
      <c r="AI79" s="136"/>
      <c r="AJ79" s="136"/>
      <c r="AK79" s="136"/>
      <c r="AL79" s="136"/>
      <c r="AM79" s="136"/>
      <c r="AN79" s="136"/>
      <c r="AO79" s="136"/>
    </row>
    <row r="80" spans="1:41" ht="15.75" customHeight="1">
      <c r="A80" s="102" t="s">
        <v>222</v>
      </c>
      <c r="B80" s="597">
        <f>('Pivot Table for Data Exchange'!$D$259)*100</f>
        <v>93.101797583174275</v>
      </c>
      <c r="C80" s="597">
        <f>('Pivot Table for Data Exchange'!$D$262)*100</f>
        <v>1.2137317597576218</v>
      </c>
      <c r="D80" s="603">
        <f>SUM(E80:G80)</f>
        <v>5.6844706570681005</v>
      </c>
      <c r="E80" s="597">
        <f>('Pivot Table for Data Exchange'!$D$265)*100</f>
        <v>5.6844706570681005</v>
      </c>
      <c r="F80" s="597">
        <f>('Pivot Table for Data Exchange'!$D$268)*100</f>
        <v>0</v>
      </c>
      <c r="G80" s="599">
        <f>('Pivot Table for Data Exchange'!$D$271)*100</f>
        <v>0</v>
      </c>
      <c r="H80" s="597">
        <f>('Pivot Table for Data Exchange'!$D$274)*100</f>
        <v>0</v>
      </c>
      <c r="I80" s="125" t="s">
        <v>218</v>
      </c>
      <c r="J80" s="597">
        <f>('Pivot Table for Data Exchange'!$D$277)*100</f>
        <v>81.701603865444326</v>
      </c>
      <c r="K80" s="597">
        <f>('Pivot Table for Data Exchange'!$D$280)*100</f>
        <v>5.0136870533335784</v>
      </c>
      <c r="L80" s="603">
        <f>SUM(M80:O80)</f>
        <v>13.284709081222099</v>
      </c>
      <c r="M80" s="597">
        <f>('Pivot Table for Data Exchange'!$D$283)*100</f>
        <v>13.284709081222099</v>
      </c>
      <c r="N80" s="597">
        <f>('Pivot Table for Data Exchange'!$D$286)*100</f>
        <v>0</v>
      </c>
      <c r="O80" s="599">
        <f>('Pivot Table for Data Exchange'!$D$289)*100</f>
        <v>0</v>
      </c>
      <c r="P80" s="597">
        <f>('Pivot Table for Data Exchange'!$D$292)*100</f>
        <v>0</v>
      </c>
      <c r="Q80" s="602">
        <f t="shared" si="4"/>
        <v>100</v>
      </c>
      <c r="R80" s="602">
        <f t="shared" si="5"/>
        <v>100.00000000000001</v>
      </c>
      <c r="S80" s="136"/>
      <c r="U80" s="136"/>
      <c r="V80" s="136"/>
      <c r="W80" s="136"/>
      <c r="X80" s="136"/>
      <c r="Y80" s="136"/>
      <c r="Z80" s="136"/>
      <c r="AA80" s="136"/>
      <c r="AB80" s="136"/>
      <c r="AC80" s="136"/>
      <c r="AD80" s="136"/>
      <c r="AE80" s="136"/>
      <c r="AF80" s="136"/>
      <c r="AG80" s="136"/>
      <c r="AH80" s="136"/>
      <c r="AI80" s="136"/>
      <c r="AJ80" s="136"/>
      <c r="AK80" s="136"/>
      <c r="AL80" s="136"/>
      <c r="AM80" s="136"/>
      <c r="AN80" s="136"/>
      <c r="AO80" s="136"/>
    </row>
    <row r="81" spans="1:41" ht="8.25" customHeight="1">
      <c r="A81" s="102"/>
      <c r="B81" s="597"/>
      <c r="C81" s="597"/>
      <c r="D81" s="603"/>
      <c r="E81" s="597"/>
      <c r="F81" s="597"/>
      <c r="G81" s="599"/>
      <c r="H81" s="597"/>
      <c r="I81" s="125"/>
      <c r="J81" s="597"/>
      <c r="K81" s="597"/>
      <c r="L81" s="603"/>
      <c r="M81" s="597"/>
      <c r="N81" s="597"/>
      <c r="O81" s="599"/>
      <c r="P81" s="597"/>
      <c r="Q81" s="602">
        <f t="shared" si="4"/>
        <v>0</v>
      </c>
      <c r="R81" s="602">
        <f t="shared" si="5"/>
        <v>0</v>
      </c>
      <c r="S81" s="136"/>
      <c r="U81" s="136"/>
      <c r="V81" s="136"/>
      <c r="W81" s="136"/>
      <c r="X81" s="136"/>
      <c r="Y81" s="136"/>
      <c r="Z81" s="136"/>
      <c r="AA81" s="136"/>
      <c r="AB81" s="136"/>
      <c r="AC81" s="136"/>
      <c r="AD81" s="136"/>
      <c r="AE81" s="136"/>
      <c r="AF81" s="136"/>
      <c r="AG81" s="136"/>
      <c r="AH81" s="136"/>
      <c r="AI81" s="136"/>
      <c r="AJ81" s="136"/>
      <c r="AK81" s="136"/>
      <c r="AL81" s="136"/>
      <c r="AM81" s="136"/>
      <c r="AN81" s="136"/>
      <c r="AO81" s="136"/>
    </row>
    <row r="82" spans="1:41" ht="15.75" customHeight="1">
      <c r="A82" s="102" t="s">
        <v>183</v>
      </c>
      <c r="B82" s="597">
        <f>('Pivot Table for Data Exchange'!$D$295)*100</f>
        <v>90.207811742030842</v>
      </c>
      <c r="C82" s="597">
        <f>('Pivot Table for Data Exchange'!$D$298)*100</f>
        <v>5.4787027963262611</v>
      </c>
      <c r="D82" s="603">
        <f>SUM(E82:G82)</f>
        <v>4.3134854616428946</v>
      </c>
      <c r="E82" s="597">
        <f>('Pivot Table for Data Exchange'!$D$301)*100</f>
        <v>2.9648090690958577</v>
      </c>
      <c r="F82" s="597">
        <f>('Pivot Table for Data Exchange'!$D$304)*100</f>
        <v>1.3486763925470369</v>
      </c>
      <c r="G82" s="599">
        <f>('Pivot Table for Data Exchange'!$D$307)*100</f>
        <v>0</v>
      </c>
      <c r="H82" s="597">
        <f>('Pivot Table for Data Exchange'!$D$310)*100</f>
        <v>0</v>
      </c>
      <c r="I82" s="125" t="s">
        <v>183</v>
      </c>
      <c r="J82" s="597">
        <f>('Pivot Table for Data Exchange'!$D$313)*100</f>
        <v>85.763171487603302</v>
      </c>
      <c r="K82" s="597">
        <f>('Pivot Table for Data Exchange'!$D$316)*100</f>
        <v>8.14286329201102</v>
      </c>
      <c r="L82" s="603">
        <f>SUM(M82:O82)</f>
        <v>6.0939652203856749</v>
      </c>
      <c r="M82" s="597">
        <f>('Pivot Table for Data Exchange'!$D$319)*100</f>
        <v>4.2957988980716255</v>
      </c>
      <c r="N82" s="597">
        <f>('Pivot Table for Data Exchange'!$D$322)*100</f>
        <v>1.7981663223140498</v>
      </c>
      <c r="O82" s="599">
        <f>('Pivot Table for Data Exchange'!$D$325)*100</f>
        <v>0</v>
      </c>
      <c r="P82" s="597">
        <f>('Pivot Table for Data Exchange'!$D$328)*100</f>
        <v>0</v>
      </c>
      <c r="Q82" s="602">
        <f t="shared" si="4"/>
        <v>100</v>
      </c>
      <c r="R82" s="602">
        <f t="shared" si="5"/>
        <v>99.999999999999986</v>
      </c>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row>
    <row r="83" spans="1:41" ht="15.75" customHeight="1">
      <c r="A83" s="102" t="s">
        <v>184</v>
      </c>
      <c r="B83" s="597">
        <f>('Pivot Table for Data Exchange'!$D$331)*100</f>
        <v>95.899535350111577</v>
      </c>
      <c r="C83" s="104">
        <f>('Pivot Table for Data Exchange'!$D$334)*100</f>
        <v>4.2369290738073044E-2</v>
      </c>
      <c r="D83" s="603">
        <f>SUM(E83:G83)</f>
        <v>4.0580953591503546</v>
      </c>
      <c r="E83" s="597">
        <f>('Pivot Table for Data Exchange'!$D$337)*100</f>
        <v>4.0559768946134511</v>
      </c>
      <c r="F83" s="98">
        <f>('Pivot Table for Data Exchange'!$D$340)*100</f>
        <v>2.1184645369036522E-3</v>
      </c>
      <c r="G83" s="599">
        <f>('Pivot Table for Data Exchange'!$D$343)*100</f>
        <v>0</v>
      </c>
      <c r="H83" s="597">
        <f>('Pivot Table for Data Exchange'!$D$346)*100</f>
        <v>0</v>
      </c>
      <c r="I83" s="125" t="s">
        <v>184</v>
      </c>
      <c r="J83" s="597">
        <f>('Pivot Table for Data Exchange'!$D$349)*100</f>
        <v>82.524785563105723</v>
      </c>
      <c r="K83" s="597">
        <f>('Pivot Table for Data Exchange'!$D$352)*100</f>
        <v>3.3752924139467533</v>
      </c>
      <c r="L83" s="603">
        <f>SUM(M83:O83)</f>
        <v>14.099922022947531</v>
      </c>
      <c r="M83" s="597">
        <f>('Pivot Table for Data Exchange'!$D$355)*100</f>
        <v>14.062325944079312</v>
      </c>
      <c r="N83" s="104">
        <f>('Pivot Table for Data Exchange'!$D$358)*100</f>
        <v>3.759607886821878E-2</v>
      </c>
      <c r="O83" s="599">
        <f>('Pivot Table for Data Exchange'!$D$361)*100</f>
        <v>0</v>
      </c>
      <c r="P83" s="597">
        <f>('Pivot Table for Data Exchange'!$D$364)*100</f>
        <v>0</v>
      </c>
      <c r="Q83" s="602">
        <f t="shared" si="4"/>
        <v>100.00000000000001</v>
      </c>
      <c r="R83" s="602">
        <f t="shared" si="5"/>
        <v>100</v>
      </c>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row>
    <row r="84" spans="1:41" ht="15.75" customHeight="1">
      <c r="A84" s="102" t="s">
        <v>185</v>
      </c>
      <c r="B84" s="597">
        <f>('Pivot Table for Data Exchange'!$D$367)*100</f>
        <v>0</v>
      </c>
      <c r="C84" s="597">
        <f>('Pivot Table for Data Exchange'!$D$370)*100</f>
        <v>0</v>
      </c>
      <c r="D84" s="603">
        <f>SUM(E84:G84)</f>
        <v>0</v>
      </c>
      <c r="E84" s="597">
        <f>('Pivot Table for Data Exchange'!$D$373)*100</f>
        <v>0</v>
      </c>
      <c r="F84" s="597">
        <f>('Pivot Table for Data Exchange'!$D$376)*100</f>
        <v>0</v>
      </c>
      <c r="G84" s="599">
        <f>('Pivot Table for Data Exchange'!$D$379)*100</f>
        <v>0</v>
      </c>
      <c r="H84" s="597">
        <f>('Pivot Table for Data Exchange'!$D$382)*100</f>
        <v>0</v>
      </c>
      <c r="I84" s="125" t="s">
        <v>185</v>
      </c>
      <c r="J84" s="597">
        <f>('Pivot Table for Data Exchange'!$D$385)*100</f>
        <v>0</v>
      </c>
      <c r="K84" s="597">
        <f>('Pivot Table for Data Exchange'!$D$388)*100</f>
        <v>0</v>
      </c>
      <c r="L84" s="603">
        <f>SUM(M84:O84)</f>
        <v>0</v>
      </c>
      <c r="M84" s="597">
        <f>('Pivot Table for Data Exchange'!$D$391)*100</f>
        <v>0</v>
      </c>
      <c r="N84" s="597">
        <f>('Pivot Table for Data Exchange'!$D$394)*100</f>
        <v>0</v>
      </c>
      <c r="O84" s="599">
        <f>('Pivot Table for Data Exchange'!$D$397)*100</f>
        <v>0</v>
      </c>
      <c r="P84" s="597">
        <f>('Pivot Table for Data Exchange'!$D$400)*100</f>
        <v>0</v>
      </c>
      <c r="Q84" s="602">
        <f t="shared" si="4"/>
        <v>0</v>
      </c>
      <c r="R84" s="602">
        <f t="shared" si="5"/>
        <v>0</v>
      </c>
      <c r="S84" s="136"/>
      <c r="T84" s="142"/>
      <c r="U84" s="136"/>
      <c r="V84" s="136"/>
      <c r="W84" s="136"/>
      <c r="X84" s="136"/>
      <c r="Y84" s="136"/>
      <c r="Z84" s="136"/>
      <c r="AA84" s="136"/>
      <c r="AB84" s="136"/>
      <c r="AC84" s="136"/>
      <c r="AD84" s="136"/>
      <c r="AE84" s="136"/>
      <c r="AF84" s="136"/>
      <c r="AG84" s="136"/>
      <c r="AH84" s="136"/>
      <c r="AI84" s="136"/>
      <c r="AJ84" s="136"/>
      <c r="AK84" s="136"/>
      <c r="AL84" s="136"/>
      <c r="AM84" s="136"/>
      <c r="AN84" s="136"/>
      <c r="AO84" s="136"/>
    </row>
    <row r="85" spans="1:41" ht="15.75" customHeight="1">
      <c r="A85" s="102" t="s">
        <v>186</v>
      </c>
      <c r="B85" s="597">
        <f>('Pivot Table for Data Exchange'!$D$403)*100</f>
        <v>0</v>
      </c>
      <c r="C85" s="597">
        <f>('Pivot Table for Data Exchange'!$D$406)*100</f>
        <v>0</v>
      </c>
      <c r="D85" s="603">
        <f>SUM(E85:G85)</f>
        <v>0</v>
      </c>
      <c r="E85" s="597">
        <f>('Pivot Table for Data Exchange'!$D$409)*100</f>
        <v>0</v>
      </c>
      <c r="F85" s="597">
        <f>('Pivot Table for Data Exchange'!$D$412)*100</f>
        <v>0</v>
      </c>
      <c r="G85" s="599">
        <f>('Pivot Table for Data Exchange'!$D$415)*100</f>
        <v>0</v>
      </c>
      <c r="H85" s="597">
        <f>('Pivot Table for Data Exchange'!$D$418)*100</f>
        <v>0</v>
      </c>
      <c r="I85" s="125" t="s">
        <v>186</v>
      </c>
      <c r="J85" s="597">
        <f>('Pivot Table for Data Exchange'!$D$421)*100</f>
        <v>0</v>
      </c>
      <c r="K85" s="597">
        <f>('Pivot Table for Data Exchange'!$D$424)*100</f>
        <v>0</v>
      </c>
      <c r="L85" s="603">
        <f>SUM(M85:O85)</f>
        <v>0</v>
      </c>
      <c r="M85" s="597">
        <f>('Pivot Table for Data Exchange'!$D$427)*100</f>
        <v>0</v>
      </c>
      <c r="N85" s="597">
        <f>('Pivot Table for Data Exchange'!$D$430)*100</f>
        <v>0</v>
      </c>
      <c r="O85" s="599">
        <f>('Pivot Table for Data Exchange'!$D$433)*100</f>
        <v>0</v>
      </c>
      <c r="P85" s="597">
        <f>('Pivot Table for Data Exchange'!$D$436)*100</f>
        <v>0</v>
      </c>
      <c r="Q85" s="602">
        <f t="shared" si="4"/>
        <v>0</v>
      </c>
      <c r="R85" s="602">
        <f t="shared" si="5"/>
        <v>0</v>
      </c>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row>
    <row r="86" spans="1:41" ht="8.25" customHeight="1">
      <c r="A86" s="102"/>
      <c r="B86" s="597"/>
      <c r="C86" s="597"/>
      <c r="D86" s="603"/>
      <c r="E86" s="597"/>
      <c r="F86" s="597"/>
      <c r="G86" s="599"/>
      <c r="H86" s="597"/>
      <c r="I86" s="125"/>
      <c r="J86" s="597"/>
      <c r="K86" s="597"/>
      <c r="L86" s="603"/>
      <c r="M86" s="597"/>
      <c r="N86" s="597"/>
      <c r="O86" s="599"/>
      <c r="P86" s="597"/>
      <c r="Q86" s="602">
        <f t="shared" si="4"/>
        <v>0</v>
      </c>
      <c r="R86" s="602">
        <f t="shared" si="5"/>
        <v>0</v>
      </c>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row>
    <row r="87" spans="1:41" ht="15.75" customHeight="1">
      <c r="A87" s="102" t="s">
        <v>187</v>
      </c>
      <c r="B87" s="597">
        <f>('Pivot Table for Data Exchange'!$D$439)*100</f>
        <v>78.482449295843821</v>
      </c>
      <c r="C87" s="597">
        <f>('Pivot Table for Data Exchange'!$D$442)*100</f>
        <v>13.307760723308363</v>
      </c>
      <c r="D87" s="603">
        <f>SUM(E87:G87)</f>
        <v>7.9920772198244112</v>
      </c>
      <c r="E87" s="597">
        <f>('Pivot Table for Data Exchange'!$D$445)*100</f>
        <v>7.4868090075244584</v>
      </c>
      <c r="F87" s="597">
        <f>('Pivot Table for Data Exchange'!$D$448)*100</f>
        <v>0</v>
      </c>
      <c r="G87" s="599">
        <f>('Pivot Table for Data Exchange'!$D$451)*100</f>
        <v>0.50526821229995256</v>
      </c>
      <c r="H87" s="597">
        <f>('Pivot Table for Data Exchange'!$D$454)*100</f>
        <v>0.21771276102341366</v>
      </c>
      <c r="I87" s="125" t="s">
        <v>187</v>
      </c>
      <c r="J87" s="597">
        <f>('Pivot Table for Data Exchange'!$D$457)*100</f>
        <v>50.973617076242448</v>
      </c>
      <c r="K87" s="597">
        <f>('Pivot Table for Data Exchange'!$D$460)*100</f>
        <v>29.857590338101854</v>
      </c>
      <c r="L87" s="603">
        <f>SUM(M87:O87)</f>
        <v>16.963218910453062</v>
      </c>
      <c r="M87" s="597">
        <f>('Pivot Table for Data Exchange'!$D$463)*100</f>
        <v>16.062259824974973</v>
      </c>
      <c r="N87" s="597">
        <f>('Pivot Table for Data Exchange'!$D$466)*100</f>
        <v>0</v>
      </c>
      <c r="O87" s="599">
        <f>('Pivot Table for Data Exchange'!$D$469)*100</f>
        <v>0.90095908547808945</v>
      </c>
      <c r="P87" s="597">
        <f>('Pivot Table for Data Exchange'!$D$472)*100</f>
        <v>2.2055736752026349</v>
      </c>
      <c r="Q87" s="602">
        <f t="shared" si="4"/>
        <v>100</v>
      </c>
      <c r="R87" s="602">
        <f t="shared" si="5"/>
        <v>100</v>
      </c>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row>
    <row r="88" spans="1:41" ht="15.75" customHeight="1">
      <c r="A88" s="102" t="s">
        <v>188</v>
      </c>
      <c r="B88" s="597">
        <f>('Pivot Table for Data Exchange'!$D$475)*100</f>
        <v>90.130712529237542</v>
      </c>
      <c r="C88" s="597">
        <f>('Pivot Table for Data Exchange'!$D$478)*100</f>
        <v>0.74499913328565781</v>
      </c>
      <c r="D88" s="603">
        <f>SUM(E88:G88)</f>
        <v>9.1242883374768038</v>
      </c>
      <c r="E88" s="597">
        <f>('Pivot Table for Data Exchange'!$D$481)*100</f>
        <v>8.6711205528361823</v>
      </c>
      <c r="F88" s="597">
        <f>('Pivot Table for Data Exchange'!$D$484)*100</f>
        <v>0.44866537247330257</v>
      </c>
      <c r="G88" s="630">
        <f>('Pivot Table for Data Exchange'!$D$487)*100</f>
        <v>4.5024121673186406E-3</v>
      </c>
      <c r="H88" s="597">
        <f>('Pivot Table for Data Exchange'!$D$490)*100</f>
        <v>0</v>
      </c>
      <c r="I88" s="125" t="s">
        <v>188</v>
      </c>
      <c r="J88" s="597">
        <f>('Pivot Table for Data Exchange'!$D$493)*100</f>
        <v>68.107021622577548</v>
      </c>
      <c r="K88" s="597">
        <f>('Pivot Table for Data Exchange'!$D$496)*100</f>
        <v>2.3960386644295015</v>
      </c>
      <c r="L88" s="603">
        <f>SUM(M88:O88)</f>
        <v>29.496939712992958</v>
      </c>
      <c r="M88" s="597">
        <f>('Pivot Table for Data Exchange'!$D$499)*100</f>
        <v>29.28558796761574</v>
      </c>
      <c r="N88" s="597">
        <f>('Pivot Table for Data Exchange'!$D$502)*100</f>
        <v>0.21135174537721974</v>
      </c>
      <c r="O88" s="599">
        <f>('Pivot Table for Data Exchange'!$D$505)*100</f>
        <v>0</v>
      </c>
      <c r="P88" s="597">
        <f>('Pivot Table for Data Exchange'!$D$508)*100</f>
        <v>0</v>
      </c>
      <c r="Q88" s="602">
        <f t="shared" si="4"/>
        <v>100</v>
      </c>
      <c r="R88" s="602">
        <f t="shared" si="5"/>
        <v>100</v>
      </c>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row>
    <row r="89" spans="1:41" ht="15.75" customHeight="1">
      <c r="A89" s="102" t="s">
        <v>189</v>
      </c>
      <c r="B89" s="597">
        <f>('Pivot Table for Data Exchange'!$D$511)*100</f>
        <v>96.045947492905881</v>
      </c>
      <c r="C89" s="597">
        <f>('Pivot Table for Data Exchange'!$D$514)*100</f>
        <v>1.0128315006223445</v>
      </c>
      <c r="D89" s="603">
        <f>SUM(E89:G89)</f>
        <v>2.9412210064717765</v>
      </c>
      <c r="E89" s="597">
        <f>('Pivot Table for Data Exchange'!$D$517)*100</f>
        <v>2.9412210064717765</v>
      </c>
      <c r="F89" s="597">
        <f>('Pivot Table for Data Exchange'!$D$520)*100</f>
        <v>0</v>
      </c>
      <c r="G89" s="599">
        <f>('Pivot Table for Data Exchange'!$D$523)*100</f>
        <v>0</v>
      </c>
      <c r="H89" s="597">
        <f>('Pivot Table for Data Exchange'!$D$526)*100</f>
        <v>0</v>
      </c>
      <c r="I89" s="125" t="s">
        <v>189</v>
      </c>
      <c r="J89" s="597">
        <f>('Pivot Table for Data Exchange'!$D$529)*100</f>
        <v>85.710413880742408</v>
      </c>
      <c r="K89" s="597">
        <f>('Pivot Table for Data Exchange'!$D$532)*100</f>
        <v>9.2418109807390891</v>
      </c>
      <c r="L89" s="603">
        <f>SUM(M89:O89)</f>
        <v>5.0477751385184977</v>
      </c>
      <c r="M89" s="597">
        <f>('Pivot Table for Data Exchange'!$D$535)*100</f>
        <v>5.0477751385184977</v>
      </c>
      <c r="N89" s="597">
        <f>('Pivot Table for Data Exchange'!$D$538)*100</f>
        <v>0</v>
      </c>
      <c r="O89" s="599">
        <f>('Pivot Table for Data Exchange'!$D$541)*100</f>
        <v>0</v>
      </c>
      <c r="P89" s="597">
        <f>('Pivot Table for Data Exchange'!$D$544)*100</f>
        <v>0</v>
      </c>
      <c r="Q89" s="602">
        <f t="shared" si="4"/>
        <v>100</v>
      </c>
      <c r="R89" s="602">
        <f t="shared" si="5"/>
        <v>100</v>
      </c>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row>
    <row r="90" spans="1:41" ht="15.75" customHeight="1">
      <c r="A90" s="76" t="s">
        <v>190</v>
      </c>
      <c r="B90" s="600">
        <f>('Pivot Table for Data Exchange'!$D$547)*100</f>
        <v>0</v>
      </c>
      <c r="C90" s="600">
        <f>('Pivot Table for Data Exchange'!$D$550)*100</f>
        <v>0</v>
      </c>
      <c r="D90" s="604">
        <f>SUM(E90:G90)</f>
        <v>0</v>
      </c>
      <c r="E90" s="600">
        <f>('Pivot Table for Data Exchange'!$D$553)*100</f>
        <v>0</v>
      </c>
      <c r="F90" s="600">
        <f>('Pivot Table for Data Exchange'!$D$556)*100</f>
        <v>0</v>
      </c>
      <c r="G90" s="601">
        <f>('Pivot Table for Data Exchange'!$D$559)*100</f>
        <v>0</v>
      </c>
      <c r="H90" s="600">
        <f>('Pivot Table for Data Exchange'!$D$562)*100</f>
        <v>0</v>
      </c>
      <c r="I90" s="619" t="s">
        <v>190</v>
      </c>
      <c r="J90" s="600">
        <f>('Pivot Table for Data Exchange'!$D$565)*100</f>
        <v>0</v>
      </c>
      <c r="K90" s="600">
        <f>('Pivot Table for Data Exchange'!$D$568)*100</f>
        <v>0</v>
      </c>
      <c r="L90" s="604">
        <f>SUM(M90:O90)</f>
        <v>0</v>
      </c>
      <c r="M90" s="600">
        <f>('Pivot Table for Data Exchange'!$D$571)*100</f>
        <v>0</v>
      </c>
      <c r="N90" s="600">
        <f>('Pivot Table for Data Exchange'!$D$574)*100</f>
        <v>0</v>
      </c>
      <c r="O90" s="601">
        <f>('Pivot Table for Data Exchange'!$D$577)*100</f>
        <v>0</v>
      </c>
      <c r="P90" s="600">
        <f>('Pivot Table for Data Exchange'!$D$580)*100</f>
        <v>0</v>
      </c>
      <c r="Q90" s="602">
        <f t="shared" si="4"/>
        <v>0</v>
      </c>
      <c r="R90" s="602">
        <f t="shared" si="5"/>
        <v>0</v>
      </c>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row>
    <row r="91" spans="1:41" s="141" customFormat="1" ht="18" customHeight="1">
      <c r="A91" s="43" t="s">
        <v>219</v>
      </c>
      <c r="B91" s="106"/>
      <c r="C91" s="106"/>
      <c r="D91" s="107"/>
      <c r="E91" s="106"/>
      <c r="F91" s="107"/>
      <c r="G91" s="107"/>
      <c r="H91" s="106"/>
      <c r="I91" s="43" t="s">
        <v>219</v>
      </c>
      <c r="J91" s="106"/>
      <c r="K91" s="106"/>
      <c r="L91" s="107"/>
      <c r="M91" s="106"/>
      <c r="N91" s="107"/>
      <c r="O91" s="107"/>
      <c r="P91" s="106"/>
      <c r="Q91" s="602">
        <f t="shared" ref="Q91:Q154" si="14">SUM(B91,C91,D91,H91)</f>
        <v>0</v>
      </c>
      <c r="R91" s="602">
        <f t="shared" ref="R91:R154" si="15">SUM(J91,K91,L91,P91)</f>
        <v>0</v>
      </c>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row>
    <row r="92" spans="1:41" s="141" customFormat="1" ht="24.75" customHeight="1">
      <c r="A92" s="658" t="s">
        <v>220</v>
      </c>
      <c r="B92" s="659"/>
      <c r="C92" s="659"/>
      <c r="D92" s="659"/>
      <c r="E92" s="659"/>
      <c r="F92" s="659"/>
      <c r="G92" s="659"/>
      <c r="H92" s="659"/>
      <c r="I92" s="658" t="s">
        <v>220</v>
      </c>
      <c r="J92" s="659"/>
      <c r="K92" s="659"/>
      <c r="L92" s="659"/>
      <c r="M92" s="659"/>
      <c r="N92" s="659"/>
      <c r="O92" s="659"/>
      <c r="P92" s="659"/>
      <c r="Q92" s="602">
        <f t="shared" si="14"/>
        <v>0</v>
      </c>
      <c r="R92" s="602">
        <f t="shared" si="15"/>
        <v>0</v>
      </c>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row>
    <row r="93" spans="1:41" s="141" customFormat="1" ht="18" customHeight="1">
      <c r="A93" s="116"/>
      <c r="B93" s="150"/>
      <c r="C93" s="150"/>
      <c r="D93" s="150"/>
      <c r="E93" s="150"/>
      <c r="F93" s="150"/>
      <c r="G93" s="151"/>
      <c r="H93" s="151"/>
      <c r="I93" s="116"/>
      <c r="J93" s="150"/>
      <c r="K93" s="150"/>
      <c r="L93" s="150"/>
      <c r="M93" s="150"/>
      <c r="N93" s="150"/>
      <c r="O93" s="150"/>
      <c r="P93" s="151"/>
      <c r="Q93" s="602">
        <f t="shared" si="14"/>
        <v>0</v>
      </c>
      <c r="R93" s="602">
        <f t="shared" si="15"/>
        <v>0</v>
      </c>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row>
    <row r="94" spans="1:41" s="141" customFormat="1" ht="13.5" customHeight="1">
      <c r="A94" s="43"/>
      <c r="B94" s="114"/>
      <c r="C94" s="45"/>
      <c r="D94" s="45"/>
      <c r="E94" s="45"/>
      <c r="F94" s="45"/>
      <c r="G94" s="45"/>
      <c r="H94" s="49" t="s">
        <v>900</v>
      </c>
      <c r="I94" s="43"/>
      <c r="J94" s="45"/>
      <c r="K94" s="45"/>
      <c r="L94" s="45"/>
      <c r="M94" s="45"/>
      <c r="N94" s="45"/>
      <c r="O94" s="45"/>
      <c r="P94" s="49" t="s">
        <v>900</v>
      </c>
      <c r="Q94" s="602">
        <f t="shared" si="14"/>
        <v>0</v>
      </c>
      <c r="R94" s="602">
        <f t="shared" si="15"/>
        <v>0</v>
      </c>
    </row>
    <row r="95" spans="1:41" ht="18">
      <c r="A95" s="16" t="s">
        <v>268</v>
      </c>
      <c r="B95" s="71"/>
      <c r="C95" s="71"/>
      <c r="D95" s="71"/>
      <c r="E95" s="71"/>
      <c r="F95" s="71"/>
      <c r="G95" s="71"/>
      <c r="H95" s="72"/>
      <c r="I95" s="16" t="s">
        <v>283</v>
      </c>
      <c r="J95" s="23"/>
      <c r="K95" s="23"/>
      <c r="L95" s="71"/>
      <c r="M95" s="23"/>
      <c r="N95" s="23"/>
      <c r="O95" s="23"/>
      <c r="P95" s="23"/>
      <c r="Q95" s="602">
        <f t="shared" si="14"/>
        <v>0</v>
      </c>
      <c r="R95" s="602">
        <f t="shared" si="15"/>
        <v>0</v>
      </c>
    </row>
    <row r="96" spans="1:41">
      <c r="A96" s="22"/>
      <c r="B96" s="23"/>
      <c r="C96" s="23"/>
      <c r="D96" s="23"/>
      <c r="E96" s="23"/>
      <c r="F96" s="23"/>
      <c r="G96" s="23"/>
      <c r="H96" s="73"/>
      <c r="I96" s="22"/>
      <c r="J96" s="23"/>
      <c r="K96" s="23"/>
      <c r="L96" s="23"/>
      <c r="M96" s="23"/>
      <c r="N96" s="23"/>
      <c r="O96" s="23"/>
      <c r="P96" s="23"/>
      <c r="Q96" s="602">
        <f t="shared" si="14"/>
        <v>0</v>
      </c>
      <c r="R96" s="602">
        <f t="shared" si="15"/>
        <v>0</v>
      </c>
    </row>
    <row r="97" spans="1:41" ht="15.75">
      <c r="A97" s="74" t="s">
        <v>205</v>
      </c>
      <c r="B97" s="23"/>
      <c r="C97" s="23"/>
      <c r="D97" s="23"/>
      <c r="E97" s="23"/>
      <c r="F97" s="23"/>
      <c r="G97" s="23"/>
      <c r="H97" s="73"/>
      <c r="I97" s="74" t="s">
        <v>206</v>
      </c>
      <c r="J97" s="23"/>
      <c r="K97" s="23"/>
      <c r="L97" s="23"/>
      <c r="M97" s="23"/>
      <c r="N97" s="23"/>
      <c r="O97" s="23"/>
      <c r="P97" s="23"/>
      <c r="Q97" s="602">
        <f t="shared" si="14"/>
        <v>0</v>
      </c>
      <c r="R97" s="602">
        <f t="shared" si="15"/>
        <v>0</v>
      </c>
    </row>
    <row r="98" spans="1:41" ht="15.75">
      <c r="A98" s="74" t="s">
        <v>884</v>
      </c>
      <c r="B98" s="23"/>
      <c r="C98" s="23"/>
      <c r="D98" s="23"/>
      <c r="E98" s="23"/>
      <c r="F98" s="23"/>
      <c r="G98" s="23"/>
      <c r="H98" s="73"/>
      <c r="I98" s="74" t="s">
        <v>884</v>
      </c>
      <c r="J98" s="23"/>
      <c r="K98" s="23"/>
      <c r="L98" s="23"/>
      <c r="M98" s="23"/>
      <c r="N98" s="23"/>
      <c r="O98" s="23"/>
      <c r="P98" s="23"/>
      <c r="Q98" s="602">
        <f t="shared" si="14"/>
        <v>0</v>
      </c>
      <c r="R98" s="602">
        <f t="shared" si="15"/>
        <v>0</v>
      </c>
    </row>
    <row r="99" spans="1:41">
      <c r="A99" s="76"/>
      <c r="B99" s="77"/>
      <c r="C99" s="77"/>
      <c r="D99" s="77"/>
      <c r="E99" s="77"/>
      <c r="F99" s="77"/>
      <c r="G99" s="77"/>
      <c r="H99" s="77"/>
      <c r="I99" s="78"/>
      <c r="L99" s="79"/>
      <c r="P99" s="76"/>
      <c r="Q99" s="602">
        <f t="shared" si="14"/>
        <v>0</v>
      </c>
      <c r="R99" s="602">
        <f t="shared" si="15"/>
        <v>0</v>
      </c>
    </row>
    <row r="100" spans="1:41" s="94" customFormat="1">
      <c r="A100" s="80"/>
      <c r="B100" s="81" t="s">
        <v>207</v>
      </c>
      <c r="C100" s="81"/>
      <c r="D100" s="81"/>
      <c r="E100" s="81"/>
      <c r="F100" s="81"/>
      <c r="G100" s="81"/>
      <c r="H100" s="82"/>
      <c r="I100" s="80"/>
      <c r="J100" s="81" t="s">
        <v>207</v>
      </c>
      <c r="K100" s="81"/>
      <c r="L100" s="81"/>
      <c r="M100" s="81"/>
      <c r="N100" s="81"/>
      <c r="O100" s="81"/>
      <c r="P100" s="82"/>
      <c r="Q100" s="602">
        <f t="shared" si="14"/>
        <v>0</v>
      </c>
      <c r="R100" s="602">
        <f t="shared" si="15"/>
        <v>0</v>
      </c>
    </row>
    <row r="101" spans="1:41" s="94" customFormat="1">
      <c r="A101" s="80"/>
      <c r="B101" s="81" t="s">
        <v>208</v>
      </c>
      <c r="C101" s="81"/>
      <c r="D101" s="653" t="s">
        <v>209</v>
      </c>
      <c r="E101" s="654"/>
      <c r="F101" s="654"/>
      <c r="G101" s="654"/>
      <c r="H101" s="86" t="s">
        <v>39</v>
      </c>
      <c r="I101" s="80"/>
      <c r="J101" s="81" t="s">
        <v>208</v>
      </c>
      <c r="K101" s="81"/>
      <c r="L101" s="653" t="s">
        <v>209</v>
      </c>
      <c r="M101" s="654"/>
      <c r="N101" s="654"/>
      <c r="O101" s="654"/>
      <c r="P101" s="86" t="s">
        <v>39</v>
      </c>
      <c r="Q101" s="602">
        <f t="shared" si="14"/>
        <v>0</v>
      </c>
      <c r="R101" s="602">
        <f t="shared" si="15"/>
        <v>0</v>
      </c>
    </row>
    <row r="102" spans="1:41" s="94" customFormat="1" ht="40.5" customHeight="1">
      <c r="A102" s="80"/>
      <c r="B102" s="87" t="s">
        <v>210</v>
      </c>
      <c r="C102" s="88" t="s">
        <v>211</v>
      </c>
      <c r="D102" s="89" t="s">
        <v>212</v>
      </c>
      <c r="E102" s="90" t="s">
        <v>7</v>
      </c>
      <c r="F102" s="87" t="s">
        <v>213</v>
      </c>
      <c r="G102" s="91" t="s">
        <v>214</v>
      </c>
      <c r="H102" s="92" t="s">
        <v>215</v>
      </c>
      <c r="I102" s="80"/>
      <c r="J102" s="87" t="s">
        <v>210</v>
      </c>
      <c r="K102" s="88" t="s">
        <v>211</v>
      </c>
      <c r="L102" s="89" t="s">
        <v>212</v>
      </c>
      <c r="M102" s="90" t="s">
        <v>7</v>
      </c>
      <c r="N102" s="87" t="s">
        <v>213</v>
      </c>
      <c r="O102" s="91" t="s">
        <v>214</v>
      </c>
      <c r="P102" s="92" t="s">
        <v>215</v>
      </c>
      <c r="Q102" s="602">
        <f t="shared" si="14"/>
        <v>0</v>
      </c>
      <c r="R102" s="602">
        <f t="shared" si="15"/>
        <v>0</v>
      </c>
      <c r="T102" s="93"/>
    </row>
    <row r="103" spans="1:41" ht="15.75" customHeight="1">
      <c r="A103" s="99" t="s">
        <v>175</v>
      </c>
      <c r="B103" s="120">
        <f>('Pivot Table for Data Exchange'!$E$7)*100</f>
        <v>78.8085573991209</v>
      </c>
      <c r="C103" s="597">
        <f>('Pivot Table for Data Exchange'!$E$10)*100</f>
        <v>0.68170118401774049</v>
      </c>
      <c r="D103" s="603">
        <f>SUM(E103:G103)</f>
        <v>20.509741416861363</v>
      </c>
      <c r="E103" s="597">
        <f>('Pivot Table for Data Exchange'!$E$13)*100</f>
        <v>20.242446442006891</v>
      </c>
      <c r="F103" s="597">
        <f>('Pivot Table for Data Exchange'!$E$16)*100</f>
        <v>0.25303924286223417</v>
      </c>
      <c r="G103" s="631">
        <f>('Pivot Table for Data Exchange'!$E$19)*100</f>
        <v>1.4255731992238545E-2</v>
      </c>
      <c r="H103" s="597">
        <f>('Pivot Table for Data Exchange'!$E$22)*100</f>
        <v>0</v>
      </c>
      <c r="I103" s="618" t="s">
        <v>175</v>
      </c>
      <c r="J103" s="597">
        <f>('Pivot Table for Data Exchange'!$E$25)*100</f>
        <v>62.85508317592415</v>
      </c>
      <c r="K103" s="597">
        <f>('Pivot Table for Data Exchange'!$E$28)*100</f>
        <v>0.84864080593501057</v>
      </c>
      <c r="L103" s="603">
        <f>SUM(M103:O103)</f>
        <v>36.296276018140837</v>
      </c>
      <c r="M103" s="597">
        <f>('Pivot Table for Data Exchange'!$E$31)*100</f>
        <v>33.432797685856897</v>
      </c>
      <c r="N103" s="104">
        <f>('Pivot Table for Data Exchange'!$E$34)*100</f>
        <v>4.9275917763968349E-2</v>
      </c>
      <c r="O103" s="97">
        <f>('Pivot Table for Data Exchange'!$E$37)*100</f>
        <v>2.8142024145199707</v>
      </c>
      <c r="P103" s="597">
        <f>('Pivot Table for Data Exchange'!$E$40)*100</f>
        <v>0</v>
      </c>
      <c r="Q103" s="602">
        <f t="shared" si="14"/>
        <v>100</v>
      </c>
      <c r="R103" s="602">
        <f t="shared" si="15"/>
        <v>100</v>
      </c>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row>
    <row r="104" spans="1:41" ht="15.75" customHeight="1">
      <c r="A104" s="102" t="s">
        <v>176</v>
      </c>
      <c r="B104" s="597">
        <f>('Pivot Table for Data Exchange'!$E$43)*100</f>
        <v>77.584128418761253</v>
      </c>
      <c r="C104" s="597">
        <f>('Pivot Table for Data Exchange'!$E$46)*100</f>
        <v>6.0750679455926067</v>
      </c>
      <c r="D104" s="603">
        <f t="shared" ref="D104:D106" si="16">SUM(E104:G104)</f>
        <v>16.274353800815987</v>
      </c>
      <c r="E104" s="597">
        <f>('Pivot Table for Data Exchange'!$E$49)*100</f>
        <v>15.728370387814985</v>
      </c>
      <c r="F104" s="597">
        <f>('Pivot Table for Data Exchange'!$E$52)*100</f>
        <v>0.53185327570953023</v>
      </c>
      <c r="G104" s="105">
        <f>('Pivot Table for Data Exchange'!$E$55)*100</f>
        <v>1.4130137291469089E-2</v>
      </c>
      <c r="H104" s="597">
        <f>('Pivot Table for Data Exchange'!$E$58)*100</f>
        <v>6.6449834830151933E-2</v>
      </c>
      <c r="I104" s="125" t="s">
        <v>176</v>
      </c>
      <c r="J104" s="597">
        <f>('Pivot Table for Data Exchange'!$E$61)*100</f>
        <v>44.246009061971606</v>
      </c>
      <c r="K104" s="597">
        <f>('Pivot Table for Data Exchange'!$E$64)*100</f>
        <v>8.621509245497597</v>
      </c>
      <c r="L104" s="603">
        <f t="shared" ref="L104:L106" si="17">SUM(M104:O104)</f>
        <v>47.132481692530796</v>
      </c>
      <c r="M104" s="597">
        <f>('Pivot Table for Data Exchange'!$E$67)*100</f>
        <v>45.433813308943435</v>
      </c>
      <c r="N104" s="597">
        <f>('Pivot Table for Data Exchange'!$E$70)*100</f>
        <v>1.6354873066207749</v>
      </c>
      <c r="O104" s="599">
        <f>('Pivot Table for Data Exchange'!$E$73)*100</f>
        <v>6.3181076966586244E-2</v>
      </c>
      <c r="P104" s="597">
        <f>('Pivot Table for Data Exchange'!$E$76)*100</f>
        <v>0</v>
      </c>
      <c r="Q104" s="602">
        <f t="shared" si="14"/>
        <v>100</v>
      </c>
      <c r="R104" s="602">
        <f t="shared" si="15"/>
        <v>100</v>
      </c>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row>
    <row r="105" spans="1:41" ht="15.75" customHeight="1">
      <c r="A105" s="102" t="s">
        <v>177</v>
      </c>
      <c r="B105" s="597">
        <f>('Pivot Table for Data Exchange'!$E$79)*100</f>
        <v>0</v>
      </c>
      <c r="C105" s="597">
        <f>('Pivot Table for Data Exchange'!$E$82)*100</f>
        <v>0</v>
      </c>
      <c r="D105" s="603">
        <f t="shared" si="16"/>
        <v>0</v>
      </c>
      <c r="E105" s="597">
        <f>('Pivot Table for Data Exchange'!$E$85)*100</f>
        <v>0</v>
      </c>
      <c r="F105" s="597">
        <f>('Pivot Table for Data Exchange'!$E$88)*100</f>
        <v>0</v>
      </c>
      <c r="G105" s="599">
        <f>('Pivot Table for Data Exchange'!$E$91)*100</f>
        <v>0</v>
      </c>
      <c r="H105" s="597">
        <f>('Pivot Table for Data Exchange'!$E$94)*100</f>
        <v>0</v>
      </c>
      <c r="I105" s="125" t="s">
        <v>177</v>
      </c>
      <c r="J105" s="597">
        <f>('Pivot Table for Data Exchange'!$E$97)*100</f>
        <v>0</v>
      </c>
      <c r="K105" s="597">
        <f>('Pivot Table for Data Exchange'!$E$100)*100</f>
        <v>0</v>
      </c>
      <c r="L105" s="603">
        <f t="shared" si="17"/>
        <v>0</v>
      </c>
      <c r="M105" s="597">
        <f>('Pivot Table for Data Exchange'!$E$103)*100</f>
        <v>0</v>
      </c>
      <c r="N105" s="597">
        <f>('Pivot Table for Data Exchange'!$E$106)*100</f>
        <v>0</v>
      </c>
      <c r="O105" s="599">
        <f>('Pivot Table for Data Exchange'!$E$109)*100</f>
        <v>0</v>
      </c>
      <c r="P105" s="597">
        <f>('Pivot Table for Data Exchange'!$E$112)*100</f>
        <v>0</v>
      </c>
      <c r="Q105" s="602">
        <f t="shared" si="14"/>
        <v>0</v>
      </c>
      <c r="R105" s="602">
        <f t="shared" si="15"/>
        <v>0</v>
      </c>
      <c r="S105" s="136"/>
      <c r="T105" s="142"/>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row>
    <row r="106" spans="1:41" ht="15.75" customHeight="1">
      <c r="A106" s="102" t="s">
        <v>217</v>
      </c>
      <c r="B106" s="597">
        <f>('Pivot Table for Data Exchange'!$E$115)*100</f>
        <v>84.26092716952212</v>
      </c>
      <c r="C106" s="597">
        <f>('Pivot Table for Data Exchange'!$E$118)*100</f>
        <v>0.91371270474235911</v>
      </c>
      <c r="D106" s="603">
        <f t="shared" si="16"/>
        <v>14.825360125735514</v>
      </c>
      <c r="E106" s="597">
        <f>('Pivot Table for Data Exchange'!$E$121)*100</f>
        <v>13.304687804434515</v>
      </c>
      <c r="F106" s="597">
        <f>('Pivot Table for Data Exchange'!$E$124)*100</f>
        <v>0</v>
      </c>
      <c r="G106" s="599">
        <f>('Pivot Table for Data Exchange'!$E$127)*100</f>
        <v>1.5206723213009987</v>
      </c>
      <c r="H106" s="597">
        <f>('Pivot Table for Data Exchange'!$E$130)*100</f>
        <v>0</v>
      </c>
      <c r="I106" s="125" t="s">
        <v>217</v>
      </c>
      <c r="J106" s="597">
        <f>('Pivot Table for Data Exchange'!$E$133)*100</f>
        <v>57.868828850845077</v>
      </c>
      <c r="K106" s="597">
        <f>('Pivot Table for Data Exchange'!$E$136)*100</f>
        <v>18.970896919498497</v>
      </c>
      <c r="L106" s="603">
        <f t="shared" si="17"/>
        <v>23.160274229656427</v>
      </c>
      <c r="M106" s="597">
        <f>('Pivot Table for Data Exchange'!$E$139)*100</f>
        <v>20.44677963438955</v>
      </c>
      <c r="N106" s="597">
        <f>('Pivot Table for Data Exchange'!$E$142)*100</f>
        <v>0</v>
      </c>
      <c r="O106" s="599">
        <f>('Pivot Table for Data Exchange'!$E$145)*100</f>
        <v>2.7134945952668765</v>
      </c>
      <c r="P106" s="597">
        <f>('Pivot Table for Data Exchange'!$E$148)*100</f>
        <v>0</v>
      </c>
      <c r="Q106" s="602">
        <f t="shared" si="14"/>
        <v>100</v>
      </c>
      <c r="R106" s="602">
        <f t="shared" si="15"/>
        <v>100</v>
      </c>
      <c r="S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row>
    <row r="107" spans="1:41" ht="11.25" customHeight="1">
      <c r="A107" s="102"/>
      <c r="B107" s="597"/>
      <c r="C107" s="597"/>
      <c r="D107" s="603"/>
      <c r="E107" s="597"/>
      <c r="F107" s="597"/>
      <c r="G107" s="599"/>
      <c r="H107" s="597"/>
      <c r="I107" s="125"/>
      <c r="J107" s="597"/>
      <c r="K107" s="597"/>
      <c r="L107" s="603"/>
      <c r="M107" s="597"/>
      <c r="N107" s="597"/>
      <c r="O107" s="599"/>
      <c r="P107" s="597"/>
      <c r="Q107" s="602">
        <f t="shared" si="14"/>
        <v>0</v>
      </c>
      <c r="R107" s="602">
        <f t="shared" si="15"/>
        <v>0</v>
      </c>
      <c r="S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row>
    <row r="108" spans="1:41" ht="15.75" customHeight="1">
      <c r="A108" s="102" t="s">
        <v>179</v>
      </c>
      <c r="B108" s="597">
        <f>('Pivot Table for Data Exchange'!$E$151)*100</f>
        <v>0</v>
      </c>
      <c r="C108" s="597">
        <f>('Pivot Table for Data Exchange'!$E$154)*100</f>
        <v>0</v>
      </c>
      <c r="D108" s="603">
        <f t="shared" ref="D108:D109" si="18">SUM(E108:G108)</f>
        <v>0</v>
      </c>
      <c r="E108" s="597">
        <f>('Pivot Table for Data Exchange'!$E$157)*100</f>
        <v>0</v>
      </c>
      <c r="F108" s="597">
        <f>('Pivot Table for Data Exchange'!$E$160)*100</f>
        <v>0</v>
      </c>
      <c r="G108" s="599">
        <f>('Pivot Table for Data Exchange'!$E$163)*100</f>
        <v>0</v>
      </c>
      <c r="H108" s="597">
        <f>('Pivot Table for Data Exchange'!$E$166)*100</f>
        <v>0</v>
      </c>
      <c r="I108" s="125" t="s">
        <v>179</v>
      </c>
      <c r="J108" s="597">
        <f>('Pivot Table for Data Exchange'!$E$169)*100</f>
        <v>0</v>
      </c>
      <c r="K108" s="597">
        <f>('Pivot Table for Data Exchange'!$E$172)*100</f>
        <v>0</v>
      </c>
      <c r="L108" s="603">
        <f t="shared" ref="L108:L109" si="19">SUM(M108:O108)</f>
        <v>0</v>
      </c>
      <c r="M108" s="597">
        <f>('Pivot Table for Data Exchange'!$E$175)*100</f>
        <v>0</v>
      </c>
      <c r="N108" s="597">
        <f>('Pivot Table for Data Exchange'!$E$178)*100</f>
        <v>0</v>
      </c>
      <c r="O108" s="599">
        <f>('Pivot Table for Data Exchange'!$E$181)*100</f>
        <v>0</v>
      </c>
      <c r="P108" s="597">
        <f>('Pivot Table for Data Exchange'!$E$184)*100</f>
        <v>0</v>
      </c>
      <c r="Q108" s="602">
        <f t="shared" si="14"/>
        <v>0</v>
      </c>
      <c r="R108" s="602">
        <f t="shared" si="15"/>
        <v>0</v>
      </c>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row>
    <row r="109" spans="1:41" ht="15.75" customHeight="1">
      <c r="A109" s="102" t="s">
        <v>180</v>
      </c>
      <c r="B109" s="597">
        <f>('Pivot Table for Data Exchange'!$E$187)*100</f>
        <v>77.311807706483719</v>
      </c>
      <c r="C109" s="597">
        <f>('Pivot Table for Data Exchange'!$E$190)*100</f>
        <v>7.6579867959055665</v>
      </c>
      <c r="D109" s="603">
        <f t="shared" si="18"/>
        <v>15.030205497610718</v>
      </c>
      <c r="E109" s="597">
        <f>('Pivot Table for Data Exchange'!$E$193)*100</f>
        <v>12.118086764220912</v>
      </c>
      <c r="F109" s="597">
        <f>('Pivot Table for Data Exchange'!$E$196)*100</f>
        <v>2.7573327341269582</v>
      </c>
      <c r="G109" s="599">
        <f>('Pivot Table for Data Exchange'!$E$199)*100</f>
        <v>0.15478599926284684</v>
      </c>
      <c r="H109" s="597">
        <f>('Pivot Table for Data Exchange'!$E$202)*100</f>
        <v>0</v>
      </c>
      <c r="I109" s="125" t="s">
        <v>180</v>
      </c>
      <c r="J109" s="597">
        <f>('Pivot Table for Data Exchange'!$E$205)*100</f>
        <v>45.775277168519168</v>
      </c>
      <c r="K109" s="597">
        <f>('Pivot Table for Data Exchange'!$E$208)*100</f>
        <v>5.0111079323705283</v>
      </c>
      <c r="L109" s="603">
        <f t="shared" si="19"/>
        <v>49.213614899110304</v>
      </c>
      <c r="M109" s="597">
        <f>('Pivot Table for Data Exchange'!$E$211)*100</f>
        <v>45.752319597642085</v>
      </c>
      <c r="N109" s="597">
        <f>('Pivot Table for Data Exchange'!$E$214)*100</f>
        <v>3.4337462164157229</v>
      </c>
      <c r="O109" s="105">
        <f>('Pivot Table for Data Exchange'!$E$217)*100</f>
        <v>2.7549085052502198E-2</v>
      </c>
      <c r="P109" s="597">
        <f>('Pivot Table for Data Exchange'!$E$220)*100</f>
        <v>0</v>
      </c>
      <c r="Q109" s="602">
        <f t="shared" si="14"/>
        <v>100.00000000000001</v>
      </c>
      <c r="R109" s="602">
        <f t="shared" si="15"/>
        <v>100</v>
      </c>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row>
    <row r="110" spans="1:41" ht="15.75" customHeight="1">
      <c r="A110" s="598" t="s">
        <v>181</v>
      </c>
      <c r="B110" s="597">
        <f>('Pivot Table for Data Exchange'!$E$223)*100</f>
        <v>0</v>
      </c>
      <c r="C110" s="597">
        <f>('Pivot Table for Data Exchange'!$E$226)*100</f>
        <v>0</v>
      </c>
      <c r="D110" s="603">
        <f>SUM(E110:G110)</f>
        <v>0</v>
      </c>
      <c r="E110" s="597">
        <f>('Pivot Table for Data Exchange'!$E$229)*100</f>
        <v>0</v>
      </c>
      <c r="F110" s="597">
        <f>('Pivot Table for Data Exchange'!$E$232)*100</f>
        <v>0</v>
      </c>
      <c r="G110" s="599">
        <f>('Pivot Table for Data Exchange'!$E$235)*100</f>
        <v>0</v>
      </c>
      <c r="H110" s="597">
        <f>('Pivot Table for Data Exchange'!$E$238)*100</f>
        <v>0</v>
      </c>
      <c r="I110" s="125" t="s">
        <v>181</v>
      </c>
      <c r="J110" s="597">
        <f>('Pivot Table for Data Exchange'!$E$241)*100</f>
        <v>0</v>
      </c>
      <c r="K110" s="597">
        <f>('Pivot Table for Data Exchange'!$E$244)*100</f>
        <v>0</v>
      </c>
      <c r="L110" s="603">
        <f>SUM(M110:O110)</f>
        <v>0</v>
      </c>
      <c r="M110" s="597">
        <f>('Pivot Table for Data Exchange'!$E$247)*100</f>
        <v>0</v>
      </c>
      <c r="N110" s="597">
        <f>('Pivot Table for Data Exchange'!$E$250)*100</f>
        <v>0</v>
      </c>
      <c r="O110" s="599">
        <f>('Pivot Table for Data Exchange'!$E$253)*100</f>
        <v>0</v>
      </c>
      <c r="P110" s="597">
        <f>('Pivot Table for Data Exchange'!$E$256)*100</f>
        <v>0</v>
      </c>
      <c r="Q110" s="602">
        <f t="shared" si="14"/>
        <v>0</v>
      </c>
      <c r="R110" s="602">
        <f t="shared" si="15"/>
        <v>0</v>
      </c>
      <c r="S110" s="136"/>
      <c r="T110" s="142"/>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row>
    <row r="111" spans="1:41" ht="15.75" customHeight="1">
      <c r="A111" s="102" t="s">
        <v>222</v>
      </c>
      <c r="B111" s="597">
        <f>('Pivot Table for Data Exchange'!$E$259)*100</f>
        <v>93.00739769289946</v>
      </c>
      <c r="C111" s="597">
        <f>('Pivot Table for Data Exchange'!$E$262)*100</f>
        <v>1.851447690282467</v>
      </c>
      <c r="D111" s="603">
        <f>SUM(E111:G111)</f>
        <v>5.1411546168180742</v>
      </c>
      <c r="E111" s="597">
        <f>('Pivot Table for Data Exchange'!$E$265)*100</f>
        <v>5.0943450261847323</v>
      </c>
      <c r="F111" s="104">
        <f>('Pivot Table for Data Exchange'!$E$268)*100</f>
        <v>4.6809590633341662E-2</v>
      </c>
      <c r="G111" s="599">
        <f>('Pivot Table for Data Exchange'!$E$271)*100</f>
        <v>0</v>
      </c>
      <c r="H111" s="597">
        <f>('Pivot Table for Data Exchange'!$E$274)*100</f>
        <v>0</v>
      </c>
      <c r="I111" s="125" t="s">
        <v>218</v>
      </c>
      <c r="J111" s="597">
        <f>('Pivot Table for Data Exchange'!$E$277)*100</f>
        <v>64.08838818477372</v>
      </c>
      <c r="K111" s="597">
        <f>('Pivot Table for Data Exchange'!$E$280)*100</f>
        <v>21.900589370468889</v>
      </c>
      <c r="L111" s="603">
        <f>SUM(M111:O111)</f>
        <v>14.011022444757387</v>
      </c>
      <c r="M111" s="597">
        <f>('Pivot Table for Data Exchange'!$E$283)*100</f>
        <v>13.442514647333926</v>
      </c>
      <c r="N111" s="597">
        <f>('Pivot Table for Data Exchange'!$E$286)*100</f>
        <v>0.56850779742346014</v>
      </c>
      <c r="O111" s="599">
        <f>('Pivot Table for Data Exchange'!$E$289)*100</f>
        <v>0</v>
      </c>
      <c r="P111" s="597">
        <f>('Pivot Table for Data Exchange'!$E$292)*100</f>
        <v>0</v>
      </c>
      <c r="Q111" s="602">
        <f t="shared" si="14"/>
        <v>100</v>
      </c>
      <c r="R111" s="602">
        <f t="shared" si="15"/>
        <v>100</v>
      </c>
      <c r="S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row>
    <row r="112" spans="1:41" ht="11.25" customHeight="1">
      <c r="A112" s="102"/>
      <c r="B112" s="597"/>
      <c r="C112" s="597"/>
      <c r="D112" s="603"/>
      <c r="E112" s="597"/>
      <c r="F112" s="597"/>
      <c r="G112" s="599"/>
      <c r="H112" s="597"/>
      <c r="I112" s="125"/>
      <c r="J112" s="597"/>
      <c r="K112" s="597"/>
      <c r="L112" s="603"/>
      <c r="M112" s="597"/>
      <c r="N112" s="597"/>
      <c r="O112" s="599"/>
      <c r="P112" s="597"/>
      <c r="Q112" s="602">
        <f t="shared" si="14"/>
        <v>0</v>
      </c>
      <c r="R112" s="602">
        <f t="shared" si="15"/>
        <v>0</v>
      </c>
      <c r="S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row>
    <row r="113" spans="1:41" ht="15.75" customHeight="1">
      <c r="A113" s="102" t="s">
        <v>183</v>
      </c>
      <c r="B113" s="597">
        <f>('Pivot Table for Data Exchange'!$E$295)*100</f>
        <v>0</v>
      </c>
      <c r="C113" s="597">
        <f>('Pivot Table for Data Exchange'!$E$298)*100</f>
        <v>0</v>
      </c>
      <c r="D113" s="603">
        <f>SUM(E113:G113)</f>
        <v>0</v>
      </c>
      <c r="E113" s="597">
        <f>('Pivot Table for Data Exchange'!$E$301)*100</f>
        <v>0</v>
      </c>
      <c r="F113" s="597">
        <f>('Pivot Table for Data Exchange'!$E$304)*100</f>
        <v>0</v>
      </c>
      <c r="G113" s="599">
        <f>('Pivot Table for Data Exchange'!$E$307)*100</f>
        <v>0</v>
      </c>
      <c r="H113" s="597">
        <f>('Pivot Table for Data Exchange'!$E$310)*100</f>
        <v>0</v>
      </c>
      <c r="I113" s="125" t="s">
        <v>183</v>
      </c>
      <c r="J113" s="597">
        <f>('Pivot Table for Data Exchange'!$E$313)*100</f>
        <v>0</v>
      </c>
      <c r="K113" s="597">
        <f>('Pivot Table for Data Exchange'!$E$316)*100</f>
        <v>0</v>
      </c>
      <c r="L113" s="603">
        <f>SUM(M113:O113)</f>
        <v>0</v>
      </c>
      <c r="M113" s="597">
        <f>('Pivot Table for Data Exchange'!$E$319)*100</f>
        <v>0</v>
      </c>
      <c r="N113" s="597">
        <f>('Pivot Table for Data Exchange'!$E$322)*100</f>
        <v>0</v>
      </c>
      <c r="O113" s="599">
        <f>('Pivot Table for Data Exchange'!$E$325)*100</f>
        <v>0</v>
      </c>
      <c r="P113" s="597">
        <f>('Pivot Table for Data Exchange'!$E$328)*100</f>
        <v>0</v>
      </c>
      <c r="Q113" s="602">
        <f t="shared" si="14"/>
        <v>0</v>
      </c>
      <c r="R113" s="602">
        <f t="shared" si="15"/>
        <v>0</v>
      </c>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row>
    <row r="114" spans="1:41" ht="15.75" customHeight="1">
      <c r="A114" s="102" t="s">
        <v>184</v>
      </c>
      <c r="B114" s="597">
        <f>('Pivot Table for Data Exchange'!$E$331)*100</f>
        <v>89.796646074570916</v>
      </c>
      <c r="C114" s="597">
        <f>('Pivot Table for Data Exchange'!$E$334)*100</f>
        <v>1.5660171549212589</v>
      </c>
      <c r="D114" s="603">
        <f>SUM(E114:G114)</f>
        <v>8.6373367705078152</v>
      </c>
      <c r="E114" s="597">
        <f>('Pivot Table for Data Exchange'!$E$337)*100</f>
        <v>8.6127832450188162</v>
      </c>
      <c r="F114" s="104">
        <f>('Pivot Table for Data Exchange'!$E$340)*100</f>
        <v>7.5622944001209969E-3</v>
      </c>
      <c r="G114" s="105">
        <f>('Pivot Table for Data Exchange'!$E$343)*100</f>
        <v>1.6991231088879455E-2</v>
      </c>
      <c r="H114" s="597">
        <f>('Pivot Table for Data Exchange'!$E$346)*100</f>
        <v>0</v>
      </c>
      <c r="I114" s="125" t="s">
        <v>184</v>
      </c>
      <c r="J114" s="597">
        <f>('Pivot Table for Data Exchange'!$E$349)*100</f>
        <v>63.038931094178928</v>
      </c>
      <c r="K114" s="597">
        <f>('Pivot Table for Data Exchange'!$E$352)*100</f>
        <v>8.1681318557517901</v>
      </c>
      <c r="L114" s="603">
        <f>SUM(M114:O114)</f>
        <v>28.792937050069288</v>
      </c>
      <c r="M114" s="597">
        <f>('Pivot Table for Data Exchange'!$E$355)*100</f>
        <v>28.699805851493291</v>
      </c>
      <c r="N114" s="597">
        <f>('Pivot Table for Data Exchange'!$E$358)*100</f>
        <v>7.9987682647930269E-2</v>
      </c>
      <c r="O114" s="105">
        <f>('Pivot Table for Data Exchange'!$E$361)*100</f>
        <v>1.3143515928063659E-2</v>
      </c>
      <c r="P114" s="597">
        <f>('Pivot Table for Data Exchange'!$E$364)*100</f>
        <v>0</v>
      </c>
      <c r="Q114" s="602">
        <f t="shared" si="14"/>
        <v>99.999999999999986</v>
      </c>
      <c r="R114" s="602">
        <f t="shared" si="15"/>
        <v>100</v>
      </c>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row>
    <row r="115" spans="1:41" ht="15.75" customHeight="1">
      <c r="A115" s="102" t="s">
        <v>185</v>
      </c>
      <c r="B115" s="597">
        <f>('Pivot Table for Data Exchange'!$E$367)*100</f>
        <v>87.676385638036777</v>
      </c>
      <c r="C115" s="597">
        <f>('Pivot Table for Data Exchange'!$E$370)*100</f>
        <v>0.75006415588933839</v>
      </c>
      <c r="D115" s="603">
        <f>SUM(E115:G115)</f>
        <v>11.573550206073884</v>
      </c>
      <c r="E115" s="597">
        <f>('Pivot Table for Data Exchange'!$E$373)*100</f>
        <v>10.73633737902955</v>
      </c>
      <c r="F115" s="597">
        <f>('Pivot Table for Data Exchange'!$E$376)*100</f>
        <v>0.20615999875993984</v>
      </c>
      <c r="G115" s="599">
        <f>('Pivot Table for Data Exchange'!$E$379)*100</f>
        <v>0.63105282828439402</v>
      </c>
      <c r="H115" s="597">
        <f>('Pivot Table for Data Exchange'!$E$382)*100</f>
        <v>0</v>
      </c>
      <c r="I115" s="125" t="s">
        <v>185</v>
      </c>
      <c r="J115" s="597">
        <f>('Pivot Table for Data Exchange'!$E$385)*100</f>
        <v>88.1832615105466</v>
      </c>
      <c r="K115" s="597">
        <f>('Pivot Table for Data Exchange'!$E$388)*100</f>
        <v>0.14639477102620671</v>
      </c>
      <c r="L115" s="603">
        <f>SUM(M115:O115)</f>
        <v>11.670343718427183</v>
      </c>
      <c r="M115" s="597">
        <f>('Pivot Table for Data Exchange'!$E$391)*100</f>
        <v>6.6434359471329305</v>
      </c>
      <c r="N115" s="597">
        <f>('Pivot Table for Data Exchange'!$E$394)*100</f>
        <v>1.0020825171653025</v>
      </c>
      <c r="O115" s="599">
        <f>('Pivot Table for Data Exchange'!$E$397)*100</f>
        <v>4.0248252541289515</v>
      </c>
      <c r="P115" s="597">
        <f>('Pivot Table for Data Exchange'!$E$400)*100</f>
        <v>0</v>
      </c>
      <c r="Q115" s="602">
        <f t="shared" si="14"/>
        <v>100</v>
      </c>
      <c r="R115" s="602">
        <f t="shared" si="15"/>
        <v>100</v>
      </c>
      <c r="S115" s="136"/>
      <c r="T115" s="142"/>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row>
    <row r="116" spans="1:41" ht="15.75" customHeight="1">
      <c r="A116" s="102" t="s">
        <v>186</v>
      </c>
      <c r="B116" s="597">
        <f>('Pivot Table for Data Exchange'!$E$403)*100</f>
        <v>98.377612214781351</v>
      </c>
      <c r="C116" s="597">
        <f>('Pivot Table for Data Exchange'!$E$406)*100</f>
        <v>0.68806825062908461</v>
      </c>
      <c r="D116" s="603">
        <f>SUM(E116:G116)</f>
        <v>0.93431953458955863</v>
      </c>
      <c r="E116" s="597">
        <f>('Pivot Table for Data Exchange'!$E$409)*100</f>
        <v>0.93431953458955863</v>
      </c>
      <c r="F116" s="597">
        <f>('Pivot Table for Data Exchange'!$E$412)*100</f>
        <v>0</v>
      </c>
      <c r="G116" s="599">
        <f>('Pivot Table for Data Exchange'!$E$415)*100</f>
        <v>0</v>
      </c>
      <c r="H116" s="597">
        <f>('Pivot Table for Data Exchange'!$E$418)*100</f>
        <v>0</v>
      </c>
      <c r="I116" s="125" t="s">
        <v>186</v>
      </c>
      <c r="J116" s="597">
        <f>('Pivot Table for Data Exchange'!$E$421)*100</f>
        <v>66.890742905728558</v>
      </c>
      <c r="K116" s="597">
        <f>('Pivot Table for Data Exchange'!$E$424)*100</f>
        <v>26.283345732809011</v>
      </c>
      <c r="L116" s="603">
        <f>SUM(M116:O116)</f>
        <v>6.8259113614624294</v>
      </c>
      <c r="M116" s="597">
        <f>('Pivot Table for Data Exchange'!$E$427)*100</f>
        <v>6.602720799234775</v>
      </c>
      <c r="N116" s="597">
        <f>('Pivot Table for Data Exchange'!$E$430)*100</f>
        <v>0</v>
      </c>
      <c r="O116" s="599">
        <f>('Pivot Table for Data Exchange'!$E$433)*100</f>
        <v>0.22319056222765438</v>
      </c>
      <c r="P116" s="597">
        <f>('Pivot Table for Data Exchange'!$E$436)*100</f>
        <v>0</v>
      </c>
      <c r="Q116" s="602">
        <f t="shared" si="14"/>
        <v>100</v>
      </c>
      <c r="R116" s="602">
        <f t="shared" si="15"/>
        <v>100</v>
      </c>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row>
    <row r="117" spans="1:41" ht="11.25" customHeight="1">
      <c r="A117" s="102"/>
      <c r="B117" s="597"/>
      <c r="C117" s="597"/>
      <c r="D117" s="603"/>
      <c r="E117" s="597"/>
      <c r="F117" s="597"/>
      <c r="G117" s="599"/>
      <c r="H117" s="597"/>
      <c r="I117" s="125"/>
      <c r="J117" s="597"/>
      <c r="K117" s="597"/>
      <c r="L117" s="603"/>
      <c r="M117" s="597"/>
      <c r="N117" s="597"/>
      <c r="O117" s="599"/>
      <c r="P117" s="597"/>
      <c r="Q117" s="602">
        <f t="shared" si="14"/>
        <v>0</v>
      </c>
      <c r="R117" s="602">
        <f t="shared" si="15"/>
        <v>0</v>
      </c>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row>
    <row r="118" spans="1:41" ht="15.75" customHeight="1">
      <c r="A118" s="102" t="s">
        <v>187</v>
      </c>
      <c r="B118" s="597">
        <f>('Pivot Table for Data Exchange'!$E$439)*100</f>
        <v>81.554371698515666</v>
      </c>
      <c r="C118" s="597">
        <f>('Pivot Table for Data Exchange'!$E$442)*100</f>
        <v>2.0921975964801915</v>
      </c>
      <c r="D118" s="603">
        <f>SUM(E118:G118)</f>
        <v>15.581489482511314</v>
      </c>
      <c r="E118" s="597">
        <f>('Pivot Table for Data Exchange'!$E$445)*100</f>
        <v>11.817308763663124</v>
      </c>
      <c r="F118" s="597">
        <f>('Pivot Table for Data Exchange'!$E$448)*100</f>
        <v>0.53467474530462145</v>
      </c>
      <c r="G118" s="599">
        <f>('Pivot Table for Data Exchange'!$E$451)*100</f>
        <v>3.2295059735435694</v>
      </c>
      <c r="H118" s="597">
        <f>('Pivot Table for Data Exchange'!$E$454)*100</f>
        <v>0.77194122249283526</v>
      </c>
      <c r="I118" s="125" t="s">
        <v>187</v>
      </c>
      <c r="J118" s="597">
        <f>('Pivot Table for Data Exchange'!$E$457)*100</f>
        <v>56.933602816720352</v>
      </c>
      <c r="K118" s="597">
        <f>('Pivot Table for Data Exchange'!$E$460)*100</f>
        <v>5.167796259132559</v>
      </c>
      <c r="L118" s="603">
        <f>SUM(M118:O118)</f>
        <v>33.227872961912851</v>
      </c>
      <c r="M118" s="597">
        <f>('Pivot Table for Data Exchange'!$E$463)*100</f>
        <v>27.7922597324687</v>
      </c>
      <c r="N118" s="597">
        <f>('Pivot Table for Data Exchange'!$E$466)*100</f>
        <v>1.2662386356332265</v>
      </c>
      <c r="O118" s="599">
        <f>('Pivot Table for Data Exchange'!$E$469)*100</f>
        <v>4.1693745938109279</v>
      </c>
      <c r="P118" s="597">
        <f>('Pivot Table for Data Exchange'!$E$472)*100</f>
        <v>4.6707279622342366</v>
      </c>
      <c r="Q118" s="602">
        <f t="shared" si="14"/>
        <v>100.00000000000001</v>
      </c>
      <c r="R118" s="602">
        <f t="shared" si="15"/>
        <v>100</v>
      </c>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row>
    <row r="119" spans="1:41" ht="15.75" customHeight="1">
      <c r="A119" s="102" t="s">
        <v>188</v>
      </c>
      <c r="B119" s="597">
        <f>('Pivot Table for Data Exchange'!$E$475)*100</f>
        <v>88.025976313762399</v>
      </c>
      <c r="C119" s="597">
        <f>('Pivot Table for Data Exchange'!$E$478)*100</f>
        <v>2.3255183686209571</v>
      </c>
      <c r="D119" s="603">
        <f>SUM(E119:G119)</f>
        <v>9.6485053176166495</v>
      </c>
      <c r="E119" s="597">
        <f>('Pivot Table for Data Exchange'!$E$481)*100</f>
        <v>9.2237595050893582</v>
      </c>
      <c r="F119" s="597">
        <f>('Pivot Table for Data Exchange'!$E$484)*100</f>
        <v>0.21945200313910049</v>
      </c>
      <c r="G119" s="599">
        <f>('Pivot Table for Data Exchange'!$E$487)*100</f>
        <v>0.20529380938819081</v>
      </c>
      <c r="H119" s="597">
        <f>('Pivot Table for Data Exchange'!$E$490)*100</f>
        <v>0</v>
      </c>
      <c r="I119" s="125" t="s">
        <v>188</v>
      </c>
      <c r="J119" s="597">
        <f>('Pivot Table for Data Exchange'!$E$493)*100</f>
        <v>56.512911083677999</v>
      </c>
      <c r="K119" s="597">
        <f>('Pivot Table for Data Exchange'!$E$496)*100</f>
        <v>7.3126263399923701</v>
      </c>
      <c r="L119" s="603">
        <f>SUM(M119:O119)</f>
        <v>36.174462576329624</v>
      </c>
      <c r="M119" s="597">
        <f>('Pivot Table for Data Exchange'!$E$499)*100</f>
        <v>34.531629677020163</v>
      </c>
      <c r="N119" s="597">
        <f>('Pivot Table for Data Exchange'!$E$502)*100</f>
        <v>0.35908341368031216</v>
      </c>
      <c r="O119" s="599">
        <f>('Pivot Table for Data Exchange'!$E$505)*100</f>
        <v>1.2837494856291545</v>
      </c>
      <c r="P119" s="597">
        <f>('Pivot Table for Data Exchange'!$E$508)*100</f>
        <v>0</v>
      </c>
      <c r="Q119" s="602">
        <f t="shared" si="14"/>
        <v>100.00000000000001</v>
      </c>
      <c r="R119" s="602">
        <f t="shared" si="15"/>
        <v>100</v>
      </c>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row>
    <row r="120" spans="1:41" ht="15.75" customHeight="1">
      <c r="A120" s="102" t="s">
        <v>189</v>
      </c>
      <c r="B120" s="597">
        <f>('Pivot Table for Data Exchange'!$E$511)*100</f>
        <v>92.522772459684788</v>
      </c>
      <c r="C120" s="597">
        <f>('Pivot Table for Data Exchange'!$E$514)*100</f>
        <v>1.7236092135061165</v>
      </c>
      <c r="D120" s="603">
        <f>SUM(E120:G120)</f>
        <v>5.7536183268090912</v>
      </c>
      <c r="E120" s="597">
        <f>('Pivot Table for Data Exchange'!$E$517)*100</f>
        <v>2.2750144329956279</v>
      </c>
      <c r="F120" s="597">
        <f>('Pivot Table for Data Exchange'!$E$520)*100</f>
        <v>3.4786038938134638</v>
      </c>
      <c r="G120" s="599">
        <f>('Pivot Table for Data Exchange'!$E$523)*100</f>
        <v>0</v>
      </c>
      <c r="H120" s="597">
        <f>('Pivot Table for Data Exchange'!$E$526)*100</f>
        <v>0</v>
      </c>
      <c r="I120" s="125" t="s">
        <v>189</v>
      </c>
      <c r="J120" s="597">
        <f>('Pivot Table for Data Exchange'!$E$529)*100</f>
        <v>79.13404730590176</v>
      </c>
      <c r="K120" s="597">
        <f>('Pivot Table for Data Exchange'!$E$532)*100</f>
        <v>8.7680841736080666</v>
      </c>
      <c r="L120" s="603">
        <f>SUM(M120:O120)</f>
        <v>12.097868520490177</v>
      </c>
      <c r="M120" s="597">
        <f>('Pivot Table for Data Exchange'!$E$535)*100</f>
        <v>8.2232103713909943</v>
      </c>
      <c r="N120" s="597">
        <f>('Pivot Table for Data Exchange'!$E$538)*100</f>
        <v>3.8746581490991838</v>
      </c>
      <c r="O120" s="599">
        <f>('Pivot Table for Data Exchange'!$E$541)*100</f>
        <v>0</v>
      </c>
      <c r="P120" s="597">
        <f>('Pivot Table for Data Exchange'!$E$544)*100</f>
        <v>0</v>
      </c>
      <c r="Q120" s="602">
        <f t="shared" si="14"/>
        <v>100</v>
      </c>
      <c r="R120" s="602">
        <f t="shared" si="15"/>
        <v>100</v>
      </c>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row>
    <row r="121" spans="1:41" ht="15.75" customHeight="1">
      <c r="A121" s="596" t="s">
        <v>190</v>
      </c>
      <c r="B121" s="600">
        <f>('Pivot Table for Data Exchange'!$E$547)*100</f>
        <v>79.951260798505714</v>
      </c>
      <c r="C121" s="600">
        <f>('Pivot Table for Data Exchange'!$E$550)*100</f>
        <v>5.872781928554752</v>
      </c>
      <c r="D121" s="604">
        <f>SUM(E121:G121)</f>
        <v>14.175957272939529</v>
      </c>
      <c r="E121" s="600">
        <f>('Pivot Table for Data Exchange'!$E$553)*100</f>
        <v>13.763717020779827</v>
      </c>
      <c r="F121" s="600">
        <f>('Pivot Table for Data Exchange'!$E$556)*100</f>
        <v>0.41224025215970111</v>
      </c>
      <c r="G121" s="601">
        <f>('Pivot Table for Data Exchange'!$E$559)*100</f>
        <v>0</v>
      </c>
      <c r="H121" s="600">
        <f>('Pivot Table for Data Exchange'!$E$562)*100</f>
        <v>0</v>
      </c>
      <c r="I121" s="619" t="s">
        <v>190</v>
      </c>
      <c r="J121" s="600">
        <f>('Pivot Table for Data Exchange'!$E$565)*100</f>
        <v>29.566748983149331</v>
      </c>
      <c r="K121" s="600">
        <f>('Pivot Table for Data Exchange'!$E$568)*100</f>
        <v>50.228791400348641</v>
      </c>
      <c r="L121" s="604">
        <f>SUM(M121:O121)</f>
        <v>20.204459616502035</v>
      </c>
      <c r="M121" s="600">
        <f>('Pivot Table for Data Exchange'!$E$571)*100</f>
        <v>19.95387855897734</v>
      </c>
      <c r="N121" s="600">
        <f>('Pivot Table for Data Exchange'!$E$574)*100</f>
        <v>0.25058105752469495</v>
      </c>
      <c r="O121" s="601">
        <f>('Pivot Table for Data Exchange'!$E$577)*100</f>
        <v>0</v>
      </c>
      <c r="P121" s="600">
        <f>('Pivot Table for Data Exchange'!$E$580)*100</f>
        <v>0</v>
      </c>
      <c r="Q121" s="602">
        <f t="shared" si="14"/>
        <v>100</v>
      </c>
      <c r="R121" s="602">
        <f t="shared" si="15"/>
        <v>100.00000000000001</v>
      </c>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row>
    <row r="122" spans="1:41" s="141" customFormat="1" ht="18" customHeight="1">
      <c r="A122" s="43" t="s">
        <v>219</v>
      </c>
      <c r="B122" s="106"/>
      <c r="C122" s="106"/>
      <c r="D122" s="107"/>
      <c r="E122" s="106"/>
      <c r="F122" s="107"/>
      <c r="G122" s="107"/>
      <c r="H122" s="106"/>
      <c r="I122" s="43" t="s">
        <v>219</v>
      </c>
      <c r="J122" s="106"/>
      <c r="K122" s="106"/>
      <c r="L122" s="107"/>
      <c r="M122" s="106"/>
      <c r="N122" s="107"/>
      <c r="O122" s="107"/>
      <c r="P122" s="106"/>
      <c r="Q122" s="602">
        <f t="shared" si="14"/>
        <v>0</v>
      </c>
      <c r="R122" s="602">
        <f t="shared" si="15"/>
        <v>0</v>
      </c>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row>
    <row r="123" spans="1:41" s="141" customFormat="1" ht="28.5" customHeight="1">
      <c r="A123" s="658" t="s">
        <v>220</v>
      </c>
      <c r="B123" s="659"/>
      <c r="C123" s="659"/>
      <c r="D123" s="659"/>
      <c r="E123" s="659"/>
      <c r="F123" s="659"/>
      <c r="G123" s="659"/>
      <c r="H123" s="659"/>
      <c r="I123" s="658" t="s">
        <v>220</v>
      </c>
      <c r="J123" s="659"/>
      <c r="K123" s="659"/>
      <c r="L123" s="659"/>
      <c r="M123" s="659"/>
      <c r="N123" s="659"/>
      <c r="O123" s="659"/>
      <c r="P123" s="659"/>
      <c r="Q123" s="602">
        <f t="shared" si="14"/>
        <v>0</v>
      </c>
      <c r="R123" s="602">
        <f t="shared" si="15"/>
        <v>0</v>
      </c>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row>
    <row r="124" spans="1:41" s="141" customFormat="1" ht="13.5" customHeight="1">
      <c r="A124" s="113"/>
      <c r="B124" s="114"/>
      <c r="C124" s="45"/>
      <c r="D124" s="45"/>
      <c r="E124" s="45"/>
      <c r="F124" s="45"/>
      <c r="G124" s="45"/>
      <c r="H124" s="47"/>
      <c r="I124" s="113"/>
      <c r="J124" s="45"/>
      <c r="K124" s="45"/>
      <c r="L124" s="45"/>
      <c r="M124" s="45"/>
      <c r="N124" s="45"/>
      <c r="O124" s="45"/>
      <c r="P124" s="115"/>
      <c r="Q124" s="602">
        <f t="shared" si="14"/>
        <v>0</v>
      </c>
      <c r="R124" s="602">
        <f t="shared" si="15"/>
        <v>0</v>
      </c>
    </row>
    <row r="125" spans="1:41" s="141" customFormat="1" ht="13.5" customHeight="1">
      <c r="A125" s="45"/>
      <c r="B125" s="45"/>
      <c r="C125" s="45"/>
      <c r="D125" s="45"/>
      <c r="E125" s="45"/>
      <c r="F125" s="45"/>
      <c r="G125" s="45"/>
      <c r="H125" s="49" t="s">
        <v>900</v>
      </c>
      <c r="I125" s="113"/>
      <c r="J125" s="45"/>
      <c r="K125" s="45"/>
      <c r="L125" s="45"/>
      <c r="M125" s="45"/>
      <c r="N125" s="45"/>
      <c r="O125" s="45"/>
      <c r="P125" s="49" t="s">
        <v>900</v>
      </c>
      <c r="Q125" s="602">
        <f t="shared" si="14"/>
        <v>0</v>
      </c>
      <c r="R125" s="602">
        <f t="shared" si="15"/>
        <v>0</v>
      </c>
    </row>
    <row r="126" spans="1:41" ht="18">
      <c r="A126" s="16" t="s">
        <v>269</v>
      </c>
      <c r="B126" s="71"/>
      <c r="C126" s="71"/>
      <c r="D126" s="71"/>
      <c r="E126" s="71"/>
      <c r="F126" s="71"/>
      <c r="G126" s="71"/>
      <c r="H126" s="72"/>
      <c r="I126" s="16" t="s">
        <v>284</v>
      </c>
      <c r="J126" s="23"/>
      <c r="K126" s="23"/>
      <c r="L126" s="71"/>
      <c r="M126" s="23"/>
      <c r="N126" s="23"/>
      <c r="O126" s="23"/>
      <c r="P126" s="23"/>
      <c r="Q126" s="602">
        <f t="shared" si="14"/>
        <v>0</v>
      </c>
      <c r="R126" s="602">
        <f t="shared" si="15"/>
        <v>0</v>
      </c>
    </row>
    <row r="127" spans="1:41">
      <c r="A127" s="22"/>
      <c r="B127" s="23"/>
      <c r="C127" s="23"/>
      <c r="D127" s="23"/>
      <c r="E127" s="23"/>
      <c r="F127" s="23"/>
      <c r="G127" s="23"/>
      <c r="H127" s="73"/>
      <c r="I127" s="22"/>
      <c r="J127" s="23"/>
      <c r="K127" s="23"/>
      <c r="L127" s="23"/>
      <c r="M127" s="23"/>
      <c r="N127" s="23"/>
      <c r="O127" s="23"/>
      <c r="P127" s="23"/>
      <c r="Q127" s="602">
        <f t="shared" si="14"/>
        <v>0</v>
      </c>
      <c r="R127" s="602">
        <f t="shared" si="15"/>
        <v>0</v>
      </c>
    </row>
    <row r="128" spans="1:41" ht="15.75">
      <c r="A128" s="74" t="s">
        <v>205</v>
      </c>
      <c r="B128" s="23"/>
      <c r="C128" s="23"/>
      <c r="D128" s="23"/>
      <c r="E128" s="23"/>
      <c r="F128" s="23"/>
      <c r="G128" s="23"/>
      <c r="H128" s="73"/>
      <c r="I128" s="74" t="s">
        <v>206</v>
      </c>
      <c r="J128" s="23"/>
      <c r="K128" s="23"/>
      <c r="L128" s="23"/>
      <c r="M128" s="23"/>
      <c r="N128" s="23"/>
      <c r="O128" s="23"/>
      <c r="P128" s="23"/>
      <c r="Q128" s="602">
        <f t="shared" si="14"/>
        <v>0</v>
      </c>
      <c r="R128" s="602">
        <f t="shared" si="15"/>
        <v>0</v>
      </c>
    </row>
    <row r="129" spans="1:41" ht="15.75">
      <c r="A129" s="74" t="s">
        <v>885</v>
      </c>
      <c r="B129" s="23"/>
      <c r="C129" s="23"/>
      <c r="D129" s="23"/>
      <c r="E129" s="23"/>
      <c r="F129" s="23"/>
      <c r="G129" s="23"/>
      <c r="H129" s="73"/>
      <c r="I129" s="74" t="s">
        <v>885</v>
      </c>
      <c r="J129" s="23"/>
      <c r="K129" s="23"/>
      <c r="L129" s="23"/>
      <c r="M129" s="23"/>
      <c r="N129" s="23"/>
      <c r="O129" s="23"/>
      <c r="P129" s="23"/>
      <c r="Q129" s="602">
        <f t="shared" si="14"/>
        <v>0</v>
      </c>
      <c r="R129" s="602">
        <f t="shared" si="15"/>
        <v>0</v>
      </c>
    </row>
    <row r="130" spans="1:41">
      <c r="A130" s="76"/>
      <c r="B130" s="77"/>
      <c r="C130" s="77"/>
      <c r="D130" s="77"/>
      <c r="E130" s="77"/>
      <c r="F130" s="77"/>
      <c r="G130" s="77"/>
      <c r="H130" s="77"/>
      <c r="I130" s="78"/>
      <c r="L130" s="79"/>
      <c r="P130" s="76"/>
      <c r="Q130" s="602">
        <f t="shared" si="14"/>
        <v>0</v>
      </c>
      <c r="R130" s="602">
        <f t="shared" si="15"/>
        <v>0</v>
      </c>
    </row>
    <row r="131" spans="1:41" s="94" customFormat="1">
      <c r="A131" s="80"/>
      <c r="B131" s="81" t="s">
        <v>207</v>
      </c>
      <c r="C131" s="81"/>
      <c r="D131" s="81"/>
      <c r="E131" s="81"/>
      <c r="F131" s="81"/>
      <c r="G131" s="81"/>
      <c r="H131" s="82"/>
      <c r="I131" s="80"/>
      <c r="J131" s="81" t="s">
        <v>207</v>
      </c>
      <c r="K131" s="81"/>
      <c r="L131" s="81"/>
      <c r="M131" s="81"/>
      <c r="N131" s="81"/>
      <c r="O131" s="81"/>
      <c r="P131" s="82"/>
      <c r="Q131" s="602">
        <f t="shared" si="14"/>
        <v>0</v>
      </c>
      <c r="R131" s="602">
        <f t="shared" si="15"/>
        <v>0</v>
      </c>
    </row>
    <row r="132" spans="1:41" s="94" customFormat="1">
      <c r="A132" s="80"/>
      <c r="B132" s="81" t="s">
        <v>208</v>
      </c>
      <c r="C132" s="81"/>
      <c r="D132" s="653" t="s">
        <v>209</v>
      </c>
      <c r="E132" s="654"/>
      <c r="F132" s="654"/>
      <c r="G132" s="654"/>
      <c r="H132" s="86" t="s">
        <v>39</v>
      </c>
      <c r="I132" s="80"/>
      <c r="J132" s="81" t="s">
        <v>208</v>
      </c>
      <c r="K132" s="81"/>
      <c r="L132" s="653" t="s">
        <v>209</v>
      </c>
      <c r="M132" s="654"/>
      <c r="N132" s="654"/>
      <c r="O132" s="654"/>
      <c r="P132" s="86" t="s">
        <v>39</v>
      </c>
      <c r="Q132" s="602">
        <f t="shared" si="14"/>
        <v>0</v>
      </c>
      <c r="R132" s="602">
        <f t="shared" si="15"/>
        <v>0</v>
      </c>
    </row>
    <row r="133" spans="1:41" s="94" customFormat="1" ht="40.5" customHeight="1">
      <c r="A133" s="80"/>
      <c r="B133" s="87" t="s">
        <v>210</v>
      </c>
      <c r="C133" s="88" t="s">
        <v>211</v>
      </c>
      <c r="D133" s="89" t="s">
        <v>212</v>
      </c>
      <c r="E133" s="90" t="s">
        <v>7</v>
      </c>
      <c r="F133" s="87" t="s">
        <v>213</v>
      </c>
      <c r="G133" s="91" t="s">
        <v>214</v>
      </c>
      <c r="H133" s="92" t="s">
        <v>215</v>
      </c>
      <c r="I133" s="80"/>
      <c r="J133" s="87" t="s">
        <v>210</v>
      </c>
      <c r="K133" s="88" t="s">
        <v>211</v>
      </c>
      <c r="L133" s="89" t="s">
        <v>212</v>
      </c>
      <c r="M133" s="90" t="s">
        <v>7</v>
      </c>
      <c r="N133" s="87" t="s">
        <v>213</v>
      </c>
      <c r="O133" s="91" t="s">
        <v>214</v>
      </c>
      <c r="P133" s="92" t="s">
        <v>215</v>
      </c>
      <c r="Q133" s="602">
        <f t="shared" si="14"/>
        <v>0</v>
      </c>
      <c r="R133" s="602">
        <f t="shared" si="15"/>
        <v>0</v>
      </c>
      <c r="T133" s="93"/>
    </row>
    <row r="134" spans="1:41" ht="15.75" customHeight="1">
      <c r="A134" s="99" t="s">
        <v>175</v>
      </c>
      <c r="B134" s="120">
        <f>('Pivot Table for Data Exchange'!$F$7)*100</f>
        <v>89.22568659613502</v>
      </c>
      <c r="C134" s="597">
        <f>('Pivot Table for Data Exchange'!$F$10)*100</f>
        <v>0.83518222473111059</v>
      </c>
      <c r="D134" s="603">
        <f>SUM(E134:G134)</f>
        <v>9.939131179133863</v>
      </c>
      <c r="E134" s="597">
        <f>('Pivot Table for Data Exchange'!$F$13)*100</f>
        <v>9.939131179133863</v>
      </c>
      <c r="F134" s="597">
        <f>('Pivot Table for Data Exchange'!$F$16)*100</f>
        <v>0</v>
      </c>
      <c r="G134" s="97">
        <f>('Pivot Table for Data Exchange'!$F$19)*100</f>
        <v>0</v>
      </c>
      <c r="H134" s="597">
        <f>('Pivot Table for Data Exchange'!$F$22)*100</f>
        <v>0</v>
      </c>
      <c r="I134" s="618" t="s">
        <v>175</v>
      </c>
      <c r="J134" s="597">
        <f>('Pivot Table for Data Exchange'!$F$25)*100</f>
        <v>58.597205023881131</v>
      </c>
      <c r="K134" s="597">
        <f>('Pivot Table for Data Exchange'!$F$28)*100</f>
        <v>6.7840084910666896</v>
      </c>
      <c r="L134" s="603">
        <f>SUM(M134:O134)</f>
        <v>34.618786485052183</v>
      </c>
      <c r="M134" s="597">
        <f>('Pivot Table for Data Exchange'!$F$31)*100</f>
        <v>34.618786485052183</v>
      </c>
      <c r="N134" s="597">
        <f>('Pivot Table for Data Exchange'!$F$34)*100</f>
        <v>0</v>
      </c>
      <c r="O134" s="97">
        <f>('Pivot Table for Data Exchange'!$F$37)*100</f>
        <v>0</v>
      </c>
      <c r="P134" s="597">
        <f>('Pivot Table for Data Exchange'!$F$40)*100</f>
        <v>0</v>
      </c>
      <c r="Q134" s="602">
        <f t="shared" si="14"/>
        <v>100</v>
      </c>
      <c r="R134" s="602">
        <f t="shared" si="15"/>
        <v>100</v>
      </c>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row>
    <row r="135" spans="1:41" ht="15.75" customHeight="1">
      <c r="A135" s="102" t="s">
        <v>176</v>
      </c>
      <c r="B135" s="597">
        <f>('Pivot Table for Data Exchange'!$F$43)*100</f>
        <v>81.610641560215214</v>
      </c>
      <c r="C135" s="597">
        <f>('Pivot Table for Data Exchange'!$F$46)*100</f>
        <v>4.6236658654146794</v>
      </c>
      <c r="D135" s="603">
        <f t="shared" ref="D135:D137" si="20">SUM(E135:G135)</f>
        <v>13.765692574370107</v>
      </c>
      <c r="E135" s="597">
        <f>('Pivot Table for Data Exchange'!$F$49)*100</f>
        <v>13.749183948613149</v>
      </c>
      <c r="F135" s="104">
        <f>('Pivot Table for Data Exchange'!$F$52)*100</f>
        <v>1.6508625756958013E-2</v>
      </c>
      <c r="G135" s="599">
        <f>('Pivot Table for Data Exchange'!$F$55)*100</f>
        <v>0</v>
      </c>
      <c r="H135" s="597">
        <f>('Pivot Table for Data Exchange'!$F$58)*100</f>
        <v>0</v>
      </c>
      <c r="I135" s="125" t="s">
        <v>176</v>
      </c>
      <c r="J135" s="597">
        <f>('Pivot Table for Data Exchange'!$F$61)*100</f>
        <v>50.891247052295739</v>
      </c>
      <c r="K135" s="597">
        <f>('Pivot Table for Data Exchange'!$F$64)*100</f>
        <v>9.1448189762796499</v>
      </c>
      <c r="L135" s="603">
        <f t="shared" ref="L135:L137" si="21">SUM(M135:O135)</f>
        <v>39.963933971424609</v>
      </c>
      <c r="M135" s="597">
        <f>('Pivot Table for Data Exchange'!$F$67)*100</f>
        <v>39.901511998890278</v>
      </c>
      <c r="N135" s="597">
        <f>('Pivot Table for Data Exchange'!$F$70)*100</f>
        <v>6.2421972534332085E-2</v>
      </c>
      <c r="O135" s="599">
        <f>('Pivot Table for Data Exchange'!$F$73)*100</f>
        <v>0</v>
      </c>
      <c r="P135" s="597">
        <f>('Pivot Table for Data Exchange'!$F$76)*100</f>
        <v>0</v>
      </c>
      <c r="Q135" s="602">
        <f t="shared" si="14"/>
        <v>100</v>
      </c>
      <c r="R135" s="602">
        <f t="shared" si="15"/>
        <v>100</v>
      </c>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row>
    <row r="136" spans="1:41" ht="15.75" customHeight="1">
      <c r="A136" s="102" t="s">
        <v>177</v>
      </c>
      <c r="B136" s="597">
        <f>('Pivot Table for Data Exchange'!$F$79)*100</f>
        <v>98.361074816792595</v>
      </c>
      <c r="C136" s="597">
        <f>('Pivot Table for Data Exchange'!$F$82)*100</f>
        <v>0</v>
      </c>
      <c r="D136" s="603">
        <f t="shared" si="20"/>
        <v>1.6389251832074077</v>
      </c>
      <c r="E136" s="597">
        <f>('Pivot Table for Data Exchange'!$F$85)*100</f>
        <v>1.6389251832074077</v>
      </c>
      <c r="F136" s="597">
        <f>('Pivot Table for Data Exchange'!$F$88)*100</f>
        <v>0</v>
      </c>
      <c r="G136" s="599">
        <f>('Pivot Table for Data Exchange'!$F$91)*100</f>
        <v>0</v>
      </c>
      <c r="H136" s="597">
        <f>('Pivot Table for Data Exchange'!$F$94)*100</f>
        <v>0</v>
      </c>
      <c r="I136" s="125" t="s">
        <v>177</v>
      </c>
      <c r="J136" s="597">
        <f>('Pivot Table for Data Exchange'!$F$97)*100</f>
        <v>69.058415577487324</v>
      </c>
      <c r="K136" s="597">
        <f>('Pivot Table for Data Exchange'!$F$100)*100</f>
        <v>0</v>
      </c>
      <c r="L136" s="603">
        <f t="shared" si="21"/>
        <v>30.941584422512669</v>
      </c>
      <c r="M136" s="597">
        <f>('Pivot Table for Data Exchange'!$F$103)*100</f>
        <v>30.941584422512669</v>
      </c>
      <c r="N136" s="597">
        <f>('Pivot Table for Data Exchange'!$F$106)*100</f>
        <v>0</v>
      </c>
      <c r="O136" s="599">
        <f>('Pivot Table for Data Exchange'!$F$109)*100</f>
        <v>0</v>
      </c>
      <c r="P136" s="597">
        <f>('Pivot Table for Data Exchange'!$F$112)*100</f>
        <v>0</v>
      </c>
      <c r="Q136" s="602">
        <f t="shared" si="14"/>
        <v>100</v>
      </c>
      <c r="R136" s="602">
        <f t="shared" si="15"/>
        <v>100</v>
      </c>
      <c r="S136" s="136"/>
      <c r="T136" s="142"/>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row>
    <row r="137" spans="1:41" ht="15.75" customHeight="1">
      <c r="A137" s="102" t="s">
        <v>178</v>
      </c>
      <c r="B137" s="597">
        <f>('Pivot Table for Data Exchange'!$F$115)*100</f>
        <v>79.980108329896765</v>
      </c>
      <c r="C137" s="597">
        <f>('Pivot Table for Data Exchange'!$F$118)*100</f>
        <v>2.6396315535948824</v>
      </c>
      <c r="D137" s="603">
        <f t="shared" si="20"/>
        <v>17.380260116508353</v>
      </c>
      <c r="E137" s="597">
        <f>('Pivot Table for Data Exchange'!$F$121)*100</f>
        <v>17.380260116508353</v>
      </c>
      <c r="F137" s="597">
        <f>('Pivot Table for Data Exchange'!$F$124)*100</f>
        <v>0</v>
      </c>
      <c r="G137" s="599">
        <f>('Pivot Table for Data Exchange'!$F$127)*100</f>
        <v>0</v>
      </c>
      <c r="H137" s="597">
        <f>('Pivot Table for Data Exchange'!$F$130)*100</f>
        <v>0</v>
      </c>
      <c r="I137" s="125" t="s">
        <v>217</v>
      </c>
      <c r="J137" s="597">
        <f>('Pivot Table for Data Exchange'!$F$133)*100</f>
        <v>54.01243583858448</v>
      </c>
      <c r="K137" s="597">
        <f>('Pivot Table for Data Exchange'!$F$136)*100</f>
        <v>6.8397112214664268</v>
      </c>
      <c r="L137" s="603">
        <f t="shared" si="21"/>
        <v>39.14785293994909</v>
      </c>
      <c r="M137" s="597">
        <f>('Pivot Table for Data Exchange'!$F$139)*100</f>
        <v>39.14785293994909</v>
      </c>
      <c r="N137" s="597">
        <f>('Pivot Table for Data Exchange'!$F$142)*100</f>
        <v>0</v>
      </c>
      <c r="O137" s="599">
        <f>('Pivot Table for Data Exchange'!$F$145)*100</f>
        <v>0</v>
      </c>
      <c r="P137" s="597">
        <f>('Pivot Table for Data Exchange'!$F$148)*100</f>
        <v>0</v>
      </c>
      <c r="Q137" s="602">
        <f t="shared" si="14"/>
        <v>100</v>
      </c>
      <c r="R137" s="602">
        <f t="shared" si="15"/>
        <v>100</v>
      </c>
      <c r="S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row>
    <row r="138" spans="1:41" ht="15.75" customHeight="1">
      <c r="A138" s="102"/>
      <c r="B138" s="597"/>
      <c r="C138" s="597"/>
      <c r="D138" s="603"/>
      <c r="E138" s="597"/>
      <c r="F138" s="597"/>
      <c r="G138" s="599"/>
      <c r="H138" s="597"/>
      <c r="I138" s="125"/>
      <c r="J138" s="597"/>
      <c r="K138" s="597"/>
      <c r="L138" s="603"/>
      <c r="M138" s="597"/>
      <c r="N138" s="597"/>
      <c r="O138" s="599"/>
      <c r="P138" s="597"/>
      <c r="Q138" s="602">
        <f t="shared" si="14"/>
        <v>0</v>
      </c>
      <c r="R138" s="602">
        <f t="shared" si="15"/>
        <v>0</v>
      </c>
      <c r="S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row>
    <row r="139" spans="1:41" ht="15.75" customHeight="1">
      <c r="A139" s="102" t="s">
        <v>179</v>
      </c>
      <c r="B139" s="597">
        <f>('Pivot Table for Data Exchange'!$F$151)*100</f>
        <v>0</v>
      </c>
      <c r="C139" s="597">
        <f>('Pivot Table for Data Exchange'!$F$154)*100</f>
        <v>0</v>
      </c>
      <c r="D139" s="603">
        <f t="shared" ref="D139:D140" si="22">SUM(E139:G139)</f>
        <v>0</v>
      </c>
      <c r="E139" s="597">
        <f>('Pivot Table for Data Exchange'!$F$157)*100</f>
        <v>0</v>
      </c>
      <c r="F139" s="597">
        <f>('Pivot Table for Data Exchange'!$F$160)*100</f>
        <v>0</v>
      </c>
      <c r="G139" s="599">
        <f>('Pivot Table for Data Exchange'!$F$163)*100</f>
        <v>0</v>
      </c>
      <c r="H139" s="597">
        <f>('Pivot Table for Data Exchange'!$F$166)*100</f>
        <v>0</v>
      </c>
      <c r="I139" s="125" t="s">
        <v>179</v>
      </c>
      <c r="J139" s="597">
        <f>('Pivot Table for Data Exchange'!$F$169)*100</f>
        <v>0</v>
      </c>
      <c r="K139" s="597">
        <f>('Pivot Table for Data Exchange'!$F$172)*100</f>
        <v>0</v>
      </c>
      <c r="L139" s="603">
        <f t="shared" ref="L139:L140" si="23">SUM(M139:O139)</f>
        <v>0</v>
      </c>
      <c r="M139" s="597">
        <f>('Pivot Table for Data Exchange'!$F$175)*100</f>
        <v>0</v>
      </c>
      <c r="N139" s="597">
        <f>('Pivot Table for Data Exchange'!$F$178)*100</f>
        <v>0</v>
      </c>
      <c r="O139" s="599">
        <f>('Pivot Table for Data Exchange'!$F$181)*100</f>
        <v>0</v>
      </c>
      <c r="P139" s="597">
        <f>('Pivot Table for Data Exchange'!$F$184)*100</f>
        <v>0</v>
      </c>
      <c r="Q139" s="602">
        <f t="shared" si="14"/>
        <v>0</v>
      </c>
      <c r="R139" s="602">
        <f t="shared" si="15"/>
        <v>0</v>
      </c>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row>
    <row r="140" spans="1:41" ht="15.75" customHeight="1">
      <c r="A140" s="102" t="s">
        <v>180</v>
      </c>
      <c r="B140" s="597">
        <f>('Pivot Table for Data Exchange'!$F$187)*100</f>
        <v>83.975156838143036</v>
      </c>
      <c r="C140" s="597">
        <f>('Pivot Table for Data Exchange'!$F$190)*100</f>
        <v>3.1947302383939773</v>
      </c>
      <c r="D140" s="603">
        <f t="shared" si="22"/>
        <v>12.830112923462988</v>
      </c>
      <c r="E140" s="597">
        <f>('Pivot Table for Data Exchange'!$F$193)*100</f>
        <v>12.827854454203264</v>
      </c>
      <c r="F140" s="597">
        <f>('Pivot Table for Data Exchange'!$F$196)*100</f>
        <v>0</v>
      </c>
      <c r="G140" s="630">
        <f>('Pivot Table for Data Exchange'!$F$199)*100</f>
        <v>2.2584692597239649E-3</v>
      </c>
      <c r="H140" s="597">
        <f>('Pivot Table for Data Exchange'!$F$202)*100</f>
        <v>0</v>
      </c>
      <c r="I140" s="125" t="s">
        <v>180</v>
      </c>
      <c r="J140" s="597">
        <f>('Pivot Table for Data Exchange'!$F$205)*100</f>
        <v>72.952700317684432</v>
      </c>
      <c r="K140" s="597">
        <f>('Pivot Table for Data Exchange'!$F$208)*100</f>
        <v>2.6120720084715847</v>
      </c>
      <c r="L140" s="603">
        <f t="shared" si="23"/>
        <v>24.435227673843983</v>
      </c>
      <c r="M140" s="597">
        <f>('Pivot Table for Data Exchange'!$F$211)*100</f>
        <v>24.435227673843983</v>
      </c>
      <c r="N140" s="597">
        <f>('Pivot Table for Data Exchange'!$F$214)*100</f>
        <v>0</v>
      </c>
      <c r="O140" s="599">
        <f>('Pivot Table for Data Exchange'!$F$217)*100</f>
        <v>0</v>
      </c>
      <c r="P140" s="597">
        <f>('Pivot Table for Data Exchange'!$F$220)*100</f>
        <v>0</v>
      </c>
      <c r="Q140" s="602">
        <f t="shared" si="14"/>
        <v>100</v>
      </c>
      <c r="R140" s="602">
        <f t="shared" si="15"/>
        <v>100</v>
      </c>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row>
    <row r="141" spans="1:41" ht="15.75" customHeight="1">
      <c r="A141" s="598" t="s">
        <v>181</v>
      </c>
      <c r="B141" s="597">
        <f>('Pivot Table for Data Exchange'!$F$223)*100</f>
        <v>0</v>
      </c>
      <c r="C141" s="597">
        <f>('Pivot Table for Data Exchange'!$F$226)*100</f>
        <v>0</v>
      </c>
      <c r="D141" s="603">
        <f>SUM(E141:G141)</f>
        <v>0</v>
      </c>
      <c r="E141" s="597">
        <f>('Pivot Table for Data Exchange'!$F$229)*100</f>
        <v>0</v>
      </c>
      <c r="F141" s="597">
        <f>('Pivot Table for Data Exchange'!$F$232)*100</f>
        <v>0</v>
      </c>
      <c r="G141" s="599">
        <f>('Pivot Table for Data Exchange'!$F$235)*100</f>
        <v>0</v>
      </c>
      <c r="H141" s="597">
        <f>('Pivot Table for Data Exchange'!$F$238)*100</f>
        <v>0</v>
      </c>
      <c r="I141" s="125" t="s">
        <v>181</v>
      </c>
      <c r="J141" s="597">
        <f>('Pivot Table for Data Exchange'!$F$241)*100</f>
        <v>0</v>
      </c>
      <c r="K141" s="597">
        <f>('Pivot Table for Data Exchange'!$F$244)*100</f>
        <v>0</v>
      </c>
      <c r="L141" s="603">
        <f>SUM(M141:O141)</f>
        <v>0</v>
      </c>
      <c r="M141" s="597">
        <f>('Pivot Table for Data Exchange'!$F$247)*100</f>
        <v>0</v>
      </c>
      <c r="N141" s="597">
        <f>('Pivot Table for Data Exchange'!$F$250)*100</f>
        <v>0</v>
      </c>
      <c r="O141" s="599">
        <f>('Pivot Table for Data Exchange'!$F$253)*100</f>
        <v>0</v>
      </c>
      <c r="P141" s="597">
        <f>('Pivot Table for Data Exchange'!$F$256)*100</f>
        <v>0</v>
      </c>
      <c r="Q141" s="602">
        <f t="shared" si="14"/>
        <v>0</v>
      </c>
      <c r="R141" s="602">
        <f t="shared" si="15"/>
        <v>0</v>
      </c>
      <c r="S141" s="136"/>
      <c r="T141" s="142"/>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row>
    <row r="142" spans="1:41" ht="15.75" customHeight="1">
      <c r="A142" s="102" t="s">
        <v>222</v>
      </c>
      <c r="B142" s="597">
        <f>('Pivot Table for Data Exchange'!$F$259)*100</f>
        <v>89.597871856633077</v>
      </c>
      <c r="C142" s="597">
        <f>('Pivot Table for Data Exchange'!$F$262)*100</f>
        <v>1.0875266066785287</v>
      </c>
      <c r="D142" s="603">
        <f>SUM(E142:G142)</f>
        <v>9.3146015366883859</v>
      </c>
      <c r="E142" s="597">
        <f>('Pivot Table for Data Exchange'!$F$265)*100</f>
        <v>8.9862326115949411</v>
      </c>
      <c r="F142" s="597">
        <f>('Pivot Table for Data Exchange'!$F$268)*100</f>
        <v>0.32836892509344506</v>
      </c>
      <c r="G142" s="599">
        <f>('Pivot Table for Data Exchange'!$F$271)*100</f>
        <v>0</v>
      </c>
      <c r="H142" s="597">
        <f>('Pivot Table for Data Exchange'!$F$274)*100</f>
        <v>0</v>
      </c>
      <c r="I142" s="125" t="s">
        <v>218</v>
      </c>
      <c r="J142" s="597">
        <f>('Pivot Table for Data Exchange'!$F$277)*100</f>
        <v>78.40272684126505</v>
      </c>
      <c r="K142" s="597">
        <f>('Pivot Table for Data Exchange'!$F$280)*100</f>
        <v>3.8641756914182168</v>
      </c>
      <c r="L142" s="603">
        <f>SUM(M142:O142)</f>
        <v>17.733097467316735</v>
      </c>
      <c r="M142" s="597">
        <f>('Pivot Table for Data Exchange'!$F$283)*100</f>
        <v>15.325538249126289</v>
      </c>
      <c r="N142" s="597">
        <f>('Pivot Table for Data Exchange'!$F$286)*100</f>
        <v>2.4075592181904475</v>
      </c>
      <c r="O142" s="599">
        <f>('Pivot Table for Data Exchange'!$F$289)*100</f>
        <v>0</v>
      </c>
      <c r="P142" s="597">
        <f>('Pivot Table for Data Exchange'!$F$292)*100</f>
        <v>0</v>
      </c>
      <c r="Q142" s="602">
        <f t="shared" si="14"/>
        <v>99.999999999999986</v>
      </c>
      <c r="R142" s="602">
        <f t="shared" si="15"/>
        <v>100</v>
      </c>
      <c r="S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row>
    <row r="143" spans="1:41" ht="15.75" customHeight="1">
      <c r="A143" s="102"/>
      <c r="B143" s="597"/>
      <c r="C143" s="597"/>
      <c r="D143" s="603"/>
      <c r="E143" s="597"/>
      <c r="F143" s="597"/>
      <c r="G143" s="599"/>
      <c r="H143" s="597"/>
      <c r="I143" s="125"/>
      <c r="J143" s="597"/>
      <c r="K143" s="597"/>
      <c r="L143" s="603"/>
      <c r="M143" s="597"/>
      <c r="N143" s="597"/>
      <c r="O143" s="599"/>
      <c r="P143" s="597"/>
      <c r="Q143" s="602">
        <f t="shared" si="14"/>
        <v>0</v>
      </c>
      <c r="R143" s="602">
        <f t="shared" si="15"/>
        <v>0</v>
      </c>
      <c r="S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row>
    <row r="144" spans="1:41" ht="15.75" customHeight="1">
      <c r="A144" s="102" t="s">
        <v>183</v>
      </c>
      <c r="B144" s="597">
        <f>('Pivot Table for Data Exchange'!$F$295)*100</f>
        <v>81.185871713223051</v>
      </c>
      <c r="C144" s="597">
        <f>('Pivot Table for Data Exchange'!$F$298)*100</f>
        <v>1.2961572647802486</v>
      </c>
      <c r="D144" s="603">
        <f>SUM(E144:G144)</f>
        <v>17.158119104943864</v>
      </c>
      <c r="E144" s="597">
        <f>('Pivot Table for Data Exchange'!$F$301)*100</f>
        <v>16.983370871842666</v>
      </c>
      <c r="F144" s="597">
        <f>('Pivot Table for Data Exchange'!$F$304)*100</f>
        <v>0</v>
      </c>
      <c r="G144" s="599">
        <f>('Pivot Table for Data Exchange'!$F$307)*100</f>
        <v>0.17474823310119864</v>
      </c>
      <c r="H144" s="597">
        <f>('Pivot Table for Data Exchange'!$F$310)*100</f>
        <v>0.3598519170528387</v>
      </c>
      <c r="I144" s="125" t="s">
        <v>183</v>
      </c>
      <c r="J144" s="597">
        <f>('Pivot Table for Data Exchange'!$F$313)*100</f>
        <v>59.962735879714891</v>
      </c>
      <c r="K144" s="597">
        <f>('Pivot Table for Data Exchange'!$F$316)*100</f>
        <v>1.0009316030071278</v>
      </c>
      <c r="L144" s="603">
        <f>SUM(M144:O144)</f>
        <v>39.036332517277984</v>
      </c>
      <c r="M144" s="597">
        <f>('Pivot Table for Data Exchange'!$F$319)*100</f>
        <v>38.57269753233529</v>
      </c>
      <c r="N144" s="597">
        <f>('Pivot Table for Data Exchange'!$F$322)*100</f>
        <v>0</v>
      </c>
      <c r="O144" s="599">
        <f>('Pivot Table for Data Exchange'!$F$325)*100</f>
        <v>0.46363498494269556</v>
      </c>
      <c r="P144" s="597">
        <f>('Pivot Table for Data Exchange'!$F$328)*100</f>
        <v>0</v>
      </c>
      <c r="Q144" s="602">
        <f t="shared" si="14"/>
        <v>100</v>
      </c>
      <c r="R144" s="602">
        <f t="shared" si="15"/>
        <v>100</v>
      </c>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row>
    <row r="145" spans="1:41" ht="15.75" customHeight="1">
      <c r="A145" s="102" t="s">
        <v>184</v>
      </c>
      <c r="B145" s="597">
        <f>('Pivot Table for Data Exchange'!$F$331)*100</f>
        <v>82.071275491636456</v>
      </c>
      <c r="C145" s="597">
        <f>('Pivot Table for Data Exchange'!$F$334)*100</f>
        <v>2.0056341065627907</v>
      </c>
      <c r="D145" s="603">
        <f>SUM(E145:G145)</f>
        <v>15.923090401800758</v>
      </c>
      <c r="E145" s="597">
        <f>('Pivot Table for Data Exchange'!$F$337)*100</f>
        <v>15.854348910245179</v>
      </c>
      <c r="F145" s="597">
        <f>('Pivot Table for Data Exchange'!$F$340)*100</f>
        <v>6.6719682980415404E-2</v>
      </c>
      <c r="G145" s="630">
        <f>('Pivot Table for Data Exchange'!$F$343)*100</f>
        <v>2.0218085751641033E-3</v>
      </c>
      <c r="H145" s="597">
        <f>('Pivot Table for Data Exchange'!$F$346)*100</f>
        <v>0</v>
      </c>
      <c r="I145" s="125" t="s">
        <v>184</v>
      </c>
      <c r="J145" s="597">
        <f>('Pivot Table for Data Exchange'!$F$349)*100</f>
        <v>56.932153392330385</v>
      </c>
      <c r="K145" s="597">
        <f>('Pivot Table for Data Exchange'!$F$352)*100</f>
        <v>18.399705014749262</v>
      </c>
      <c r="L145" s="603">
        <f>SUM(M145:O145)</f>
        <v>24.668141592920353</v>
      </c>
      <c r="M145" s="597">
        <f>('Pivot Table for Data Exchange'!$F$355)*100</f>
        <v>24.668141592920353</v>
      </c>
      <c r="N145" s="597">
        <f>('Pivot Table for Data Exchange'!$F$358)*100</f>
        <v>0</v>
      </c>
      <c r="O145" s="599">
        <f>('Pivot Table for Data Exchange'!$F$361)*100</f>
        <v>0</v>
      </c>
      <c r="P145" s="597">
        <f>('Pivot Table for Data Exchange'!$F$364)*100</f>
        <v>0</v>
      </c>
      <c r="Q145" s="602">
        <f t="shared" si="14"/>
        <v>100.00000000000001</v>
      </c>
      <c r="R145" s="602">
        <f t="shared" si="15"/>
        <v>100</v>
      </c>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row>
    <row r="146" spans="1:41" ht="15.75" customHeight="1">
      <c r="A146" s="102" t="s">
        <v>185</v>
      </c>
      <c r="B146" s="597">
        <f>('Pivot Table for Data Exchange'!$F$367)*100</f>
        <v>0</v>
      </c>
      <c r="C146" s="597">
        <f>('Pivot Table for Data Exchange'!$F$370)*100</f>
        <v>0</v>
      </c>
      <c r="D146" s="603">
        <f>SUM(E146:G146)</f>
        <v>0</v>
      </c>
      <c r="E146" s="597">
        <f>('Pivot Table for Data Exchange'!$F$373)*100</f>
        <v>0</v>
      </c>
      <c r="F146" s="597">
        <f>('Pivot Table for Data Exchange'!$F$376)*100</f>
        <v>0</v>
      </c>
      <c r="G146" s="599">
        <f>('Pivot Table for Data Exchange'!$F$379)*100</f>
        <v>0</v>
      </c>
      <c r="H146" s="597">
        <f>('Pivot Table for Data Exchange'!$F$382)*100</f>
        <v>0</v>
      </c>
      <c r="I146" s="125" t="s">
        <v>185</v>
      </c>
      <c r="J146" s="597">
        <f>('Pivot Table for Data Exchange'!$F$385)*100</f>
        <v>0</v>
      </c>
      <c r="K146" s="597">
        <f>('Pivot Table for Data Exchange'!$F$388)*100</f>
        <v>0</v>
      </c>
      <c r="L146" s="603">
        <f>SUM(M146:O146)</f>
        <v>0</v>
      </c>
      <c r="M146" s="597">
        <f>('Pivot Table for Data Exchange'!$F$391)*100</f>
        <v>0</v>
      </c>
      <c r="N146" s="597">
        <f>('Pivot Table for Data Exchange'!$F$394)*100</f>
        <v>0</v>
      </c>
      <c r="O146" s="599">
        <f>('Pivot Table for Data Exchange'!$F$397)*100</f>
        <v>0</v>
      </c>
      <c r="P146" s="597">
        <f>('Pivot Table for Data Exchange'!$F$400)*100</f>
        <v>0</v>
      </c>
      <c r="Q146" s="602">
        <f t="shared" si="14"/>
        <v>0</v>
      </c>
      <c r="R146" s="602">
        <f t="shared" si="15"/>
        <v>0</v>
      </c>
      <c r="S146" s="136"/>
      <c r="T146" s="142"/>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row>
    <row r="147" spans="1:41" ht="15.75" customHeight="1">
      <c r="A147" s="102" t="s">
        <v>186</v>
      </c>
      <c r="B147" s="597">
        <f>('Pivot Table for Data Exchange'!$F$403)*100</f>
        <v>99.027083881146467</v>
      </c>
      <c r="C147" s="597">
        <f>('Pivot Table for Data Exchange'!$F$406)*100</f>
        <v>0.26409356457716449</v>
      </c>
      <c r="D147" s="603">
        <f>SUM(E147:G147)</f>
        <v>0.7088225542763722</v>
      </c>
      <c r="E147" s="597">
        <f>('Pivot Table for Data Exchange'!$F$409)*100</f>
        <v>0.7088225542763722</v>
      </c>
      <c r="F147" s="597">
        <f>('Pivot Table for Data Exchange'!$F$412)*100</f>
        <v>0</v>
      </c>
      <c r="G147" s="599">
        <f>('Pivot Table for Data Exchange'!$F$415)*100</f>
        <v>0</v>
      </c>
      <c r="H147" s="597">
        <f>('Pivot Table for Data Exchange'!$F$418)*100</f>
        <v>0</v>
      </c>
      <c r="I147" s="125" t="s">
        <v>186</v>
      </c>
      <c r="J147" s="597">
        <f>('Pivot Table for Data Exchange'!$F$421)*100</f>
        <v>79.566679118416133</v>
      </c>
      <c r="K147" s="597">
        <f>('Pivot Table for Data Exchange'!$F$424)*100</f>
        <v>10.907732536421367</v>
      </c>
      <c r="L147" s="603">
        <f>SUM(M147:O147)</f>
        <v>9.5255883451624968</v>
      </c>
      <c r="M147" s="597">
        <f>('Pivot Table for Data Exchange'!$F$427)*100</f>
        <v>9.5255883451624968</v>
      </c>
      <c r="N147" s="597">
        <f>('Pivot Table for Data Exchange'!$F$430)*100</f>
        <v>0</v>
      </c>
      <c r="O147" s="599">
        <f>('Pivot Table for Data Exchange'!$F$433)*100</f>
        <v>0</v>
      </c>
      <c r="P147" s="597">
        <f>('Pivot Table for Data Exchange'!$F$436)*100</f>
        <v>0</v>
      </c>
      <c r="Q147" s="602">
        <f t="shared" si="14"/>
        <v>100</v>
      </c>
      <c r="R147" s="602">
        <f t="shared" si="15"/>
        <v>100</v>
      </c>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row>
    <row r="148" spans="1:41" ht="15.75" customHeight="1">
      <c r="A148" s="102"/>
      <c r="B148" s="597"/>
      <c r="C148" s="597"/>
      <c r="D148" s="603"/>
      <c r="E148" s="597"/>
      <c r="F148" s="597"/>
      <c r="G148" s="599"/>
      <c r="H148" s="597"/>
      <c r="I148" s="125"/>
      <c r="J148" s="597"/>
      <c r="K148" s="597"/>
      <c r="L148" s="603"/>
      <c r="M148" s="597"/>
      <c r="N148" s="597"/>
      <c r="O148" s="599"/>
      <c r="P148" s="597"/>
      <c r="Q148" s="602">
        <f t="shared" si="14"/>
        <v>0</v>
      </c>
      <c r="R148" s="602">
        <f t="shared" si="15"/>
        <v>0</v>
      </c>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row>
    <row r="149" spans="1:41" ht="15.75" customHeight="1">
      <c r="A149" s="102" t="s">
        <v>187</v>
      </c>
      <c r="B149" s="597">
        <f>('Pivot Table for Data Exchange'!$F$439)*100</f>
        <v>0</v>
      </c>
      <c r="C149" s="597">
        <f>('Pivot Table for Data Exchange'!$F$442)*100</f>
        <v>0</v>
      </c>
      <c r="D149" s="603">
        <f>SUM(E149:G149)</f>
        <v>0</v>
      </c>
      <c r="E149" s="597">
        <f>('Pivot Table for Data Exchange'!$F$445)*100</f>
        <v>0</v>
      </c>
      <c r="F149" s="597">
        <f>('Pivot Table for Data Exchange'!$F$448)*100</f>
        <v>0</v>
      </c>
      <c r="G149" s="599">
        <f>('Pivot Table for Data Exchange'!$F$451)*100</f>
        <v>0</v>
      </c>
      <c r="H149" s="597">
        <f>('Pivot Table for Data Exchange'!$F$454)*100</f>
        <v>0</v>
      </c>
      <c r="I149" s="125" t="s">
        <v>187</v>
      </c>
      <c r="J149" s="597">
        <f>('Pivot Table for Data Exchange'!$F$457)*100</f>
        <v>0</v>
      </c>
      <c r="K149" s="597">
        <f>('Pivot Table for Data Exchange'!$F$460)*100</f>
        <v>0</v>
      </c>
      <c r="L149" s="603">
        <f>SUM(M149:O149)</f>
        <v>0</v>
      </c>
      <c r="M149" s="597">
        <f>('Pivot Table for Data Exchange'!$F$463)*100</f>
        <v>0</v>
      </c>
      <c r="N149" s="597">
        <f>('Pivot Table for Data Exchange'!$F$466)*100</f>
        <v>0</v>
      </c>
      <c r="O149" s="599">
        <f>('Pivot Table for Data Exchange'!$F$469)*100</f>
        <v>0</v>
      </c>
      <c r="P149" s="597">
        <f>('Pivot Table for Data Exchange'!$F$472)*100</f>
        <v>0</v>
      </c>
      <c r="Q149" s="602">
        <f t="shared" si="14"/>
        <v>0</v>
      </c>
      <c r="R149" s="602">
        <f t="shared" si="15"/>
        <v>0</v>
      </c>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row>
    <row r="150" spans="1:41" ht="15.75" customHeight="1">
      <c r="A150" s="102" t="s">
        <v>188</v>
      </c>
      <c r="B150" s="597">
        <f>('Pivot Table for Data Exchange'!$F$475)*100</f>
        <v>39.434731486467186</v>
      </c>
      <c r="C150" s="597">
        <f>('Pivot Table for Data Exchange'!$F$478)*100</f>
        <v>12.136130372193712</v>
      </c>
      <c r="D150" s="603">
        <f>SUM(E150:G150)</f>
        <v>48.429138141339102</v>
      </c>
      <c r="E150" s="597">
        <f>('Pivot Table for Data Exchange'!$F$481)*100</f>
        <v>44.136877616729485</v>
      </c>
      <c r="F150" s="597">
        <f>('Pivot Table for Data Exchange'!$F$484)*100</f>
        <v>4.2922605246096195</v>
      </c>
      <c r="G150" s="599">
        <f>('Pivot Table for Data Exchange'!$F$487)*100</f>
        <v>0</v>
      </c>
      <c r="H150" s="597">
        <f>('Pivot Table for Data Exchange'!$F$490)*100</f>
        <v>0</v>
      </c>
      <c r="I150" s="125" t="s">
        <v>188</v>
      </c>
      <c r="J150" s="597">
        <f>('Pivot Table for Data Exchange'!$F$493)*100</f>
        <v>16.249031258072851</v>
      </c>
      <c r="K150" s="597">
        <f>('Pivot Table for Data Exchange'!$F$496)*100</f>
        <v>15.439593558942564</v>
      </c>
      <c r="L150" s="603">
        <f>SUM(M150:O150)</f>
        <v>68.311375182984577</v>
      </c>
      <c r="M150" s="597">
        <f>('Pivot Table for Data Exchange'!$F$499)*100</f>
        <v>64.488073710496849</v>
      </c>
      <c r="N150" s="597">
        <f>('Pivot Table for Data Exchange'!$F$502)*100</f>
        <v>3.8233014724877292</v>
      </c>
      <c r="O150" s="599">
        <f>('Pivot Table for Data Exchange'!$F$505)*100</f>
        <v>0</v>
      </c>
      <c r="P150" s="597">
        <f>('Pivot Table for Data Exchange'!$F$508)*100</f>
        <v>0</v>
      </c>
      <c r="Q150" s="602">
        <f t="shared" si="14"/>
        <v>100</v>
      </c>
      <c r="R150" s="602">
        <f t="shared" si="15"/>
        <v>100</v>
      </c>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row>
    <row r="151" spans="1:41" ht="15.75" customHeight="1">
      <c r="A151" s="102" t="s">
        <v>189</v>
      </c>
      <c r="B151" s="597">
        <f>('Pivot Table for Data Exchange'!$F$511)*100</f>
        <v>97.518555056656311</v>
      </c>
      <c r="C151" s="597">
        <f>('Pivot Table for Data Exchange'!$F$514)*100</f>
        <v>1.973981431113488</v>
      </c>
      <c r="D151" s="603">
        <f>SUM(E151:G151)</f>
        <v>0.50746351223020258</v>
      </c>
      <c r="E151" s="597">
        <f>('Pivot Table for Data Exchange'!$F$517)*100</f>
        <v>0.34187403767252744</v>
      </c>
      <c r="F151" s="597">
        <f>('Pivot Table for Data Exchange'!$F$520)*100</f>
        <v>0.16558947455767511</v>
      </c>
      <c r="G151" s="599">
        <f>('Pivot Table for Data Exchange'!$F$523)*100</f>
        <v>0</v>
      </c>
      <c r="H151" s="597">
        <f>('Pivot Table for Data Exchange'!$F$526)*100</f>
        <v>0</v>
      </c>
      <c r="I151" s="125" t="s">
        <v>189</v>
      </c>
      <c r="J151" s="597">
        <f>('Pivot Table for Data Exchange'!$F$529)*100</f>
        <v>79.85542027628189</v>
      </c>
      <c r="K151" s="597">
        <f>('Pivot Table for Data Exchange'!$F$532)*100</f>
        <v>15.072582533364551</v>
      </c>
      <c r="L151" s="603">
        <f>SUM(M151:O151)</f>
        <v>5.0719971903535477</v>
      </c>
      <c r="M151" s="597">
        <f>('Pivot Table for Data Exchange'!$F$535)*100</f>
        <v>1.1267852961835636</v>
      </c>
      <c r="N151" s="597">
        <f>('Pivot Table for Data Exchange'!$F$538)*100</f>
        <v>3.9452118941699839</v>
      </c>
      <c r="O151" s="599">
        <f>('Pivot Table for Data Exchange'!$F$541)*100</f>
        <v>0</v>
      </c>
      <c r="P151" s="597">
        <f>('Pivot Table for Data Exchange'!$F$544)*100</f>
        <v>0</v>
      </c>
      <c r="Q151" s="602">
        <f t="shared" si="14"/>
        <v>100</v>
      </c>
      <c r="R151" s="602">
        <f t="shared" si="15"/>
        <v>99.999999999999986</v>
      </c>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row>
    <row r="152" spans="1:41" ht="15.75" customHeight="1">
      <c r="A152" s="596" t="s">
        <v>190</v>
      </c>
      <c r="B152" s="600">
        <f>('Pivot Table for Data Exchange'!$F$547)*100</f>
        <v>0</v>
      </c>
      <c r="C152" s="600">
        <f>('Pivot Table for Data Exchange'!$F$550)*100</f>
        <v>0</v>
      </c>
      <c r="D152" s="604">
        <f>SUM(E152:G152)</f>
        <v>0</v>
      </c>
      <c r="E152" s="600">
        <f>('Pivot Table for Data Exchange'!$F$553)*100</f>
        <v>0</v>
      </c>
      <c r="F152" s="600">
        <f>('Pivot Table for Data Exchange'!$F$556)*100</f>
        <v>0</v>
      </c>
      <c r="G152" s="601">
        <f>('Pivot Table for Data Exchange'!$F$559)*100</f>
        <v>0</v>
      </c>
      <c r="H152" s="600">
        <f>('Pivot Table for Data Exchange'!$F$562)*100</f>
        <v>0</v>
      </c>
      <c r="I152" s="619" t="s">
        <v>190</v>
      </c>
      <c r="J152" s="600">
        <f>('Pivot Table for Data Exchange'!$F$565)*100</f>
        <v>0</v>
      </c>
      <c r="K152" s="600">
        <f>('Pivot Table for Data Exchange'!$F$568)*100</f>
        <v>0</v>
      </c>
      <c r="L152" s="604">
        <f>SUM(M152:O152)</f>
        <v>0</v>
      </c>
      <c r="M152" s="600">
        <f>('Pivot Table for Data Exchange'!$F$571)*100</f>
        <v>0</v>
      </c>
      <c r="N152" s="600">
        <f>('Pivot Table for Data Exchange'!$F$574)*100</f>
        <v>0</v>
      </c>
      <c r="O152" s="601">
        <f>('Pivot Table for Data Exchange'!$F$577)*100</f>
        <v>0</v>
      </c>
      <c r="P152" s="600">
        <f>('Pivot Table for Data Exchange'!$F$580)*100</f>
        <v>0</v>
      </c>
      <c r="Q152" s="602">
        <f t="shared" si="14"/>
        <v>0</v>
      </c>
      <c r="R152" s="602">
        <f t="shared" si="15"/>
        <v>0</v>
      </c>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row>
    <row r="153" spans="1:41" s="141" customFormat="1" ht="18" customHeight="1">
      <c r="A153" s="43" t="s">
        <v>219</v>
      </c>
      <c r="B153" s="106"/>
      <c r="C153" s="106"/>
      <c r="D153" s="107"/>
      <c r="E153" s="106"/>
      <c r="F153" s="107"/>
      <c r="G153" s="107"/>
      <c r="H153" s="106"/>
      <c r="I153" s="43" t="s">
        <v>219</v>
      </c>
      <c r="J153" s="106"/>
      <c r="K153" s="106"/>
      <c r="L153" s="107"/>
      <c r="M153" s="106"/>
      <c r="N153" s="107"/>
      <c r="O153" s="107"/>
      <c r="P153" s="106"/>
      <c r="Q153" s="602">
        <f t="shared" si="14"/>
        <v>0</v>
      </c>
      <c r="R153" s="602">
        <f t="shared" si="15"/>
        <v>0</v>
      </c>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row>
    <row r="154" spans="1:41" s="141" customFormat="1" ht="24" customHeight="1">
      <c r="A154" s="658" t="s">
        <v>220</v>
      </c>
      <c r="B154" s="659"/>
      <c r="C154" s="659"/>
      <c r="D154" s="659"/>
      <c r="E154" s="659"/>
      <c r="F154" s="659"/>
      <c r="G154" s="659"/>
      <c r="H154" s="659"/>
      <c r="I154" s="658" t="s">
        <v>220</v>
      </c>
      <c r="J154" s="659"/>
      <c r="K154" s="659"/>
      <c r="L154" s="659"/>
      <c r="M154" s="659"/>
      <c r="N154" s="659"/>
      <c r="O154" s="659"/>
      <c r="P154" s="659"/>
      <c r="Q154" s="602">
        <f t="shared" si="14"/>
        <v>0</v>
      </c>
      <c r="R154" s="602">
        <f t="shared" si="15"/>
        <v>0</v>
      </c>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row>
    <row r="155" spans="1:41" s="141" customFormat="1" ht="13.5" customHeight="1">
      <c r="A155" s="43"/>
      <c r="B155" s="114"/>
      <c r="C155" s="45"/>
      <c r="D155" s="45"/>
      <c r="E155" s="45"/>
      <c r="F155" s="45"/>
      <c r="G155" s="45"/>
      <c r="H155" s="49" t="s">
        <v>900</v>
      </c>
      <c r="I155" s="43"/>
      <c r="J155" s="45"/>
      <c r="K155" s="45"/>
      <c r="L155" s="45"/>
      <c r="M155" s="45"/>
      <c r="N155" s="45"/>
      <c r="O155" s="45"/>
      <c r="P155" s="49" t="s">
        <v>900</v>
      </c>
      <c r="Q155" s="602">
        <f t="shared" ref="Q155:Q217" si="24">SUM(B155,C155,D155,H155)</f>
        <v>0</v>
      </c>
      <c r="R155" s="602">
        <f t="shared" ref="R155:R217" si="25">SUM(J155,K155,L155,P155)</f>
        <v>0</v>
      </c>
    </row>
    <row r="156" spans="1:41" ht="18">
      <c r="A156" s="16" t="s">
        <v>270</v>
      </c>
      <c r="B156" s="71"/>
      <c r="C156" s="71"/>
      <c r="D156" s="71"/>
      <c r="E156" s="71"/>
      <c r="F156" s="71"/>
      <c r="G156" s="71"/>
      <c r="H156" s="72"/>
      <c r="I156" s="16" t="s">
        <v>285</v>
      </c>
      <c r="J156" s="23"/>
      <c r="K156" s="23"/>
      <c r="L156" s="71"/>
      <c r="M156" s="23"/>
      <c r="N156" s="23"/>
      <c r="O156" s="23"/>
      <c r="P156" s="23"/>
      <c r="Q156" s="602">
        <f t="shared" si="24"/>
        <v>0</v>
      </c>
      <c r="R156" s="602">
        <f t="shared" si="25"/>
        <v>0</v>
      </c>
    </row>
    <row r="157" spans="1:41">
      <c r="A157" s="22"/>
      <c r="B157" s="23"/>
      <c r="C157" s="23"/>
      <c r="D157" s="23"/>
      <c r="E157" s="23"/>
      <c r="F157" s="23"/>
      <c r="G157" s="23"/>
      <c r="H157" s="73"/>
      <c r="I157" s="22"/>
      <c r="J157" s="23"/>
      <c r="K157" s="23"/>
      <c r="L157" s="23"/>
      <c r="M157" s="23"/>
      <c r="N157" s="23"/>
      <c r="O157" s="23"/>
      <c r="P157" s="23"/>
      <c r="Q157" s="602">
        <f t="shared" si="24"/>
        <v>0</v>
      </c>
      <c r="R157" s="602">
        <f t="shared" si="25"/>
        <v>0</v>
      </c>
    </row>
    <row r="158" spans="1:41" ht="15.75">
      <c r="A158" s="74" t="s">
        <v>205</v>
      </c>
      <c r="B158" s="23"/>
      <c r="C158" s="23"/>
      <c r="D158" s="23"/>
      <c r="E158" s="23"/>
      <c r="F158" s="23"/>
      <c r="G158" s="23"/>
      <c r="H158" s="73"/>
      <c r="I158" s="74" t="s">
        <v>206</v>
      </c>
      <c r="J158" s="23"/>
      <c r="K158" s="23"/>
      <c r="L158" s="23"/>
      <c r="M158" s="23"/>
      <c r="N158" s="23"/>
      <c r="O158" s="23"/>
      <c r="P158" s="23"/>
      <c r="Q158" s="602">
        <f t="shared" si="24"/>
        <v>0</v>
      </c>
      <c r="R158" s="602">
        <f t="shared" si="25"/>
        <v>0</v>
      </c>
    </row>
    <row r="159" spans="1:41" ht="15.75">
      <c r="A159" s="74" t="s">
        <v>886</v>
      </c>
      <c r="B159" s="23"/>
      <c r="C159" s="23"/>
      <c r="D159" s="23"/>
      <c r="E159" s="23"/>
      <c r="F159" s="23"/>
      <c r="G159" s="23"/>
      <c r="H159" s="73"/>
      <c r="I159" s="74" t="s">
        <v>886</v>
      </c>
      <c r="J159" s="23"/>
      <c r="K159" s="23"/>
      <c r="L159" s="23"/>
      <c r="M159" s="23"/>
      <c r="N159" s="23"/>
      <c r="O159" s="23"/>
      <c r="P159" s="23"/>
      <c r="Q159" s="602">
        <f t="shared" si="24"/>
        <v>0</v>
      </c>
      <c r="R159" s="602">
        <f t="shared" si="25"/>
        <v>0</v>
      </c>
    </row>
    <row r="160" spans="1:41">
      <c r="A160" s="76"/>
      <c r="B160" s="77"/>
      <c r="C160" s="77"/>
      <c r="D160" s="77"/>
      <c r="E160" s="77"/>
      <c r="F160" s="77"/>
      <c r="G160" s="77"/>
      <c r="H160" s="77"/>
      <c r="I160" s="78"/>
      <c r="L160" s="79"/>
      <c r="P160" s="76"/>
      <c r="Q160" s="602">
        <f t="shared" si="24"/>
        <v>0</v>
      </c>
      <c r="R160" s="602">
        <f t="shared" si="25"/>
        <v>0</v>
      </c>
    </row>
    <row r="161" spans="1:41" s="94" customFormat="1">
      <c r="A161" s="80"/>
      <c r="B161" s="81" t="s">
        <v>207</v>
      </c>
      <c r="C161" s="81"/>
      <c r="D161" s="81"/>
      <c r="E161" s="81"/>
      <c r="F161" s="81"/>
      <c r="G161" s="81"/>
      <c r="H161" s="82"/>
      <c r="I161" s="80"/>
      <c r="J161" s="81" t="s">
        <v>207</v>
      </c>
      <c r="K161" s="81"/>
      <c r="L161" s="81"/>
      <c r="M161" s="81"/>
      <c r="N161" s="81"/>
      <c r="O161" s="81"/>
      <c r="P161" s="82"/>
      <c r="Q161" s="602">
        <f t="shared" si="24"/>
        <v>0</v>
      </c>
      <c r="R161" s="602">
        <f t="shared" si="25"/>
        <v>0</v>
      </c>
    </row>
    <row r="162" spans="1:41" s="94" customFormat="1">
      <c r="A162" s="80"/>
      <c r="B162" s="81" t="s">
        <v>208</v>
      </c>
      <c r="C162" s="81"/>
      <c r="D162" s="653" t="s">
        <v>209</v>
      </c>
      <c r="E162" s="654"/>
      <c r="F162" s="654"/>
      <c r="G162" s="654"/>
      <c r="H162" s="86" t="s">
        <v>39</v>
      </c>
      <c r="I162" s="80"/>
      <c r="J162" s="81" t="s">
        <v>208</v>
      </c>
      <c r="K162" s="81"/>
      <c r="L162" s="653" t="s">
        <v>209</v>
      </c>
      <c r="M162" s="654"/>
      <c r="N162" s="654"/>
      <c r="O162" s="654"/>
      <c r="P162" s="86" t="s">
        <v>39</v>
      </c>
      <c r="Q162" s="602">
        <f t="shared" si="24"/>
        <v>0</v>
      </c>
      <c r="R162" s="602">
        <f t="shared" si="25"/>
        <v>0</v>
      </c>
    </row>
    <row r="163" spans="1:41" s="94" customFormat="1" ht="40.5" customHeight="1">
      <c r="A163" s="80"/>
      <c r="B163" s="87" t="s">
        <v>210</v>
      </c>
      <c r="C163" s="88" t="s">
        <v>211</v>
      </c>
      <c r="D163" s="89" t="s">
        <v>212</v>
      </c>
      <c r="E163" s="90" t="s">
        <v>7</v>
      </c>
      <c r="F163" s="87" t="s">
        <v>213</v>
      </c>
      <c r="G163" s="91" t="s">
        <v>214</v>
      </c>
      <c r="H163" s="92" t="s">
        <v>215</v>
      </c>
      <c r="I163" s="80"/>
      <c r="J163" s="87" t="s">
        <v>210</v>
      </c>
      <c r="K163" s="88" t="s">
        <v>211</v>
      </c>
      <c r="L163" s="89" t="s">
        <v>212</v>
      </c>
      <c r="M163" s="90" t="s">
        <v>7</v>
      </c>
      <c r="N163" s="87" t="s">
        <v>213</v>
      </c>
      <c r="O163" s="91" t="s">
        <v>214</v>
      </c>
      <c r="P163" s="92" t="s">
        <v>215</v>
      </c>
      <c r="Q163" s="602">
        <f t="shared" si="24"/>
        <v>0</v>
      </c>
      <c r="R163" s="602">
        <f t="shared" si="25"/>
        <v>0</v>
      </c>
      <c r="T163" s="93"/>
    </row>
    <row r="164" spans="1:41" ht="15.75" customHeight="1">
      <c r="A164" s="99" t="s">
        <v>175</v>
      </c>
      <c r="B164" s="120">
        <f>('Pivot Table for Data Exchange'!$G$7)*100</f>
        <v>94.752957773574025</v>
      </c>
      <c r="C164" s="597">
        <f>('Pivot Table for Data Exchange'!$G$10)*100</f>
        <v>0.64045015870980149</v>
      </c>
      <c r="D164" s="603">
        <f>SUM(E164:G164)</f>
        <v>4.606592067716182</v>
      </c>
      <c r="E164" s="597">
        <f>('Pivot Table for Data Exchange'!$G$13)*100</f>
        <v>4.606592067716182</v>
      </c>
      <c r="F164" s="597">
        <f>('Pivot Table for Data Exchange'!$G$16)*100</f>
        <v>0</v>
      </c>
      <c r="G164" s="97">
        <f>('Pivot Table for Data Exchange'!$G$19)*100</f>
        <v>0</v>
      </c>
      <c r="H164" s="597">
        <f>('Pivot Table for Data Exchange'!$G$22)*100</f>
        <v>0</v>
      </c>
      <c r="I164" s="618" t="s">
        <v>175</v>
      </c>
      <c r="J164" s="597">
        <f>('Pivot Table for Data Exchange'!$G$25)*100</f>
        <v>25.878013210946211</v>
      </c>
      <c r="K164" s="597">
        <f>('Pivot Table for Data Exchange'!$G$28)*100</f>
        <v>0.95221755168568234</v>
      </c>
      <c r="L164" s="603">
        <f>SUM(M164:O164)</f>
        <v>73.169769237368115</v>
      </c>
      <c r="M164" s="597">
        <f>('Pivot Table for Data Exchange'!$G$31)*100</f>
        <v>73.169769237368115</v>
      </c>
      <c r="N164" s="597">
        <f>('Pivot Table for Data Exchange'!$G$34)*100</f>
        <v>0</v>
      </c>
      <c r="O164" s="97">
        <f>('Pivot Table for Data Exchange'!$G$37)*100</f>
        <v>0</v>
      </c>
      <c r="P164" s="597">
        <f>('Pivot Table for Data Exchange'!$G$40)*100</f>
        <v>0</v>
      </c>
      <c r="Q164" s="602">
        <f t="shared" si="24"/>
        <v>100</v>
      </c>
      <c r="R164" s="602">
        <f t="shared" si="25"/>
        <v>100</v>
      </c>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row>
    <row r="165" spans="1:41" ht="15.75" customHeight="1">
      <c r="A165" s="102" t="s">
        <v>176</v>
      </c>
      <c r="B165" s="597">
        <f>('Pivot Table for Data Exchange'!$G$43)*100</f>
        <v>82.146329268631419</v>
      </c>
      <c r="C165" s="597">
        <f>('Pivot Table for Data Exchange'!$G$46)*100</f>
        <v>1.4332935196244547</v>
      </c>
      <c r="D165" s="603">
        <f t="shared" ref="D165:D167" si="26">SUM(E165:G165)</f>
        <v>16.412044109885837</v>
      </c>
      <c r="E165" s="597">
        <f>('Pivot Table for Data Exchange'!$G$49)*100</f>
        <v>11.770506374822922</v>
      </c>
      <c r="F165" s="597">
        <f>('Pivot Table for Data Exchange'!$G$52)*100</f>
        <v>4.641537735062915</v>
      </c>
      <c r="G165" s="599">
        <f>('Pivot Table for Data Exchange'!$G$55)*100</f>
        <v>0</v>
      </c>
      <c r="H165" s="104">
        <f>('Pivot Table for Data Exchange'!$G$58)*100</f>
        <v>8.3331018582817155E-3</v>
      </c>
      <c r="I165" s="125" t="s">
        <v>176</v>
      </c>
      <c r="J165" s="597">
        <f>('Pivot Table for Data Exchange'!$G$61)*100</f>
        <v>49.013949013949016</v>
      </c>
      <c r="K165" s="597">
        <f>('Pivot Table for Data Exchange'!$G$64)*100</f>
        <v>1.9240019240019242</v>
      </c>
      <c r="L165" s="603">
        <f t="shared" ref="L165:L167" si="27">SUM(M165:O165)</f>
        <v>49.062049062049063</v>
      </c>
      <c r="M165" s="597">
        <f>('Pivot Table for Data Exchange'!$G$67)*100</f>
        <v>49.062049062049063</v>
      </c>
      <c r="N165" s="597">
        <f>('Pivot Table for Data Exchange'!$G$70)*100</f>
        <v>0</v>
      </c>
      <c r="O165" s="599">
        <f>('Pivot Table for Data Exchange'!$G$73)*100</f>
        <v>0</v>
      </c>
      <c r="P165" s="597">
        <f>('Pivot Table for Data Exchange'!$G$76)*100</f>
        <v>0</v>
      </c>
      <c r="Q165" s="602">
        <f t="shared" si="24"/>
        <v>100</v>
      </c>
      <c r="R165" s="602">
        <f t="shared" si="25"/>
        <v>100</v>
      </c>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row>
    <row r="166" spans="1:41" ht="15.75" customHeight="1">
      <c r="A166" s="102" t="s">
        <v>177</v>
      </c>
      <c r="B166" s="597">
        <f>('Pivot Table for Data Exchange'!$G$79)*100</f>
        <v>0</v>
      </c>
      <c r="C166" s="597">
        <f>('Pivot Table for Data Exchange'!$G$82)*100</f>
        <v>0</v>
      </c>
      <c r="D166" s="603">
        <f t="shared" si="26"/>
        <v>0</v>
      </c>
      <c r="E166" s="597">
        <f>('Pivot Table for Data Exchange'!$G$85)*100</f>
        <v>0</v>
      </c>
      <c r="F166" s="597">
        <f>('Pivot Table for Data Exchange'!$G$88)*100</f>
        <v>0</v>
      </c>
      <c r="G166" s="599">
        <f>('Pivot Table for Data Exchange'!$G$91)*100</f>
        <v>0</v>
      </c>
      <c r="H166" s="597">
        <f>('Pivot Table for Data Exchange'!$G$94)*100</f>
        <v>0</v>
      </c>
      <c r="I166" s="125" t="s">
        <v>177</v>
      </c>
      <c r="J166" s="597">
        <f>('Pivot Table for Data Exchange'!$G$97)*100</f>
        <v>0</v>
      </c>
      <c r="K166" s="597">
        <f>('Pivot Table for Data Exchange'!$G$100)*100</f>
        <v>0</v>
      </c>
      <c r="L166" s="603">
        <f t="shared" si="27"/>
        <v>0</v>
      </c>
      <c r="M166" s="597">
        <f>('Pivot Table for Data Exchange'!$G$103)*100</f>
        <v>0</v>
      </c>
      <c r="N166" s="597">
        <f>('Pivot Table for Data Exchange'!$G$106)*100</f>
        <v>0</v>
      </c>
      <c r="O166" s="599">
        <f>('Pivot Table for Data Exchange'!$G$109)*100</f>
        <v>0</v>
      </c>
      <c r="P166" s="597">
        <f>('Pivot Table for Data Exchange'!$G$112)*100</f>
        <v>0</v>
      </c>
      <c r="Q166" s="602">
        <f t="shared" si="24"/>
        <v>0</v>
      </c>
      <c r="R166" s="602">
        <f t="shared" si="25"/>
        <v>0</v>
      </c>
      <c r="S166" s="136"/>
      <c r="T166" s="142"/>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row>
    <row r="167" spans="1:41" ht="15.75" customHeight="1">
      <c r="A167" s="102" t="s">
        <v>217</v>
      </c>
      <c r="B167" s="597">
        <f>('Pivot Table for Data Exchange'!$G$115)*100</f>
        <v>0</v>
      </c>
      <c r="C167" s="597">
        <f>('Pivot Table for Data Exchange'!$G$118)*100</f>
        <v>0</v>
      </c>
      <c r="D167" s="603">
        <f t="shared" si="26"/>
        <v>0</v>
      </c>
      <c r="E167" s="597">
        <f>('Pivot Table for Data Exchange'!$G$121)*100</f>
        <v>0</v>
      </c>
      <c r="F167" s="597">
        <f>('Pivot Table for Data Exchange'!$G$124)*100</f>
        <v>0</v>
      </c>
      <c r="G167" s="599">
        <f>('Pivot Table for Data Exchange'!$G$127)*100</f>
        <v>0</v>
      </c>
      <c r="H167" s="597">
        <f>('Pivot Table for Data Exchange'!$G$130)*100</f>
        <v>0</v>
      </c>
      <c r="I167" s="125" t="s">
        <v>217</v>
      </c>
      <c r="J167" s="597">
        <f>('Pivot Table for Data Exchange'!$G$133)*100</f>
        <v>0</v>
      </c>
      <c r="K167" s="597">
        <f>('Pivot Table for Data Exchange'!$G$136)*100</f>
        <v>0</v>
      </c>
      <c r="L167" s="603">
        <f t="shared" si="27"/>
        <v>0</v>
      </c>
      <c r="M167" s="597">
        <f>('Pivot Table for Data Exchange'!$G$139)*100</f>
        <v>0</v>
      </c>
      <c r="N167" s="597">
        <f>('Pivot Table for Data Exchange'!$G$142)*100</f>
        <v>0</v>
      </c>
      <c r="O167" s="599">
        <f>('Pivot Table for Data Exchange'!$G$145)*100</f>
        <v>0</v>
      </c>
      <c r="P167" s="597">
        <f>('Pivot Table for Data Exchange'!$G$148)*100</f>
        <v>0</v>
      </c>
      <c r="Q167" s="602">
        <f t="shared" si="24"/>
        <v>0</v>
      </c>
      <c r="R167" s="602">
        <f t="shared" si="25"/>
        <v>0</v>
      </c>
      <c r="S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row>
    <row r="168" spans="1:41" ht="10.5" customHeight="1">
      <c r="A168" s="102"/>
      <c r="B168" s="597"/>
      <c r="C168" s="597"/>
      <c r="D168" s="603"/>
      <c r="E168" s="597"/>
      <c r="F168" s="597"/>
      <c r="G168" s="599"/>
      <c r="H168" s="597"/>
      <c r="I168" s="125"/>
      <c r="J168" s="597"/>
      <c r="K168" s="597"/>
      <c r="L168" s="603"/>
      <c r="M168" s="597"/>
      <c r="N168" s="597"/>
      <c r="O168" s="599"/>
      <c r="P168" s="597"/>
      <c r="Q168" s="602">
        <f t="shared" si="24"/>
        <v>0</v>
      </c>
      <c r="R168" s="602">
        <f t="shared" si="25"/>
        <v>0</v>
      </c>
      <c r="S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row>
    <row r="169" spans="1:41" ht="15.75" customHeight="1">
      <c r="A169" s="102" t="s">
        <v>179</v>
      </c>
      <c r="B169" s="597">
        <f>('Pivot Table for Data Exchange'!$G$151)*100</f>
        <v>0</v>
      </c>
      <c r="C169" s="597">
        <f>('Pivot Table for Data Exchange'!$G$154)*100</f>
        <v>0</v>
      </c>
      <c r="D169" s="603">
        <f t="shared" ref="D169:D170" si="28">SUM(E169:G169)</f>
        <v>0</v>
      </c>
      <c r="E169" s="597">
        <f>('Pivot Table for Data Exchange'!$G$157)*100</f>
        <v>0</v>
      </c>
      <c r="F169" s="597">
        <f>('Pivot Table for Data Exchange'!$G$160)*100</f>
        <v>0</v>
      </c>
      <c r="G169" s="599">
        <f>('Pivot Table for Data Exchange'!$G$163)*100</f>
        <v>0</v>
      </c>
      <c r="H169" s="597">
        <f>('Pivot Table for Data Exchange'!$G$166)*100</f>
        <v>0</v>
      </c>
      <c r="I169" s="125" t="s">
        <v>179</v>
      </c>
      <c r="J169" s="597">
        <f>('Pivot Table for Data Exchange'!$G$169)*100</f>
        <v>0</v>
      </c>
      <c r="K169" s="597">
        <f>('Pivot Table for Data Exchange'!$G$172)*100</f>
        <v>0</v>
      </c>
      <c r="L169" s="603">
        <f t="shared" ref="L169:L170" si="29">SUM(M169:O169)</f>
        <v>0</v>
      </c>
      <c r="M169" s="597">
        <f>('Pivot Table for Data Exchange'!$G$175)*100</f>
        <v>0</v>
      </c>
      <c r="N169" s="597">
        <f>('Pivot Table for Data Exchange'!$G$178)*100</f>
        <v>0</v>
      </c>
      <c r="O169" s="599">
        <f>('Pivot Table for Data Exchange'!$G$181)*100</f>
        <v>0</v>
      </c>
      <c r="P169" s="597">
        <f>('Pivot Table for Data Exchange'!$G$184)*100</f>
        <v>0</v>
      </c>
      <c r="Q169" s="602">
        <f t="shared" si="24"/>
        <v>0</v>
      </c>
      <c r="R169" s="602">
        <f t="shared" si="25"/>
        <v>0</v>
      </c>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row>
    <row r="170" spans="1:41" ht="15.75" customHeight="1">
      <c r="A170" s="102" t="s">
        <v>180</v>
      </c>
      <c r="B170" s="597">
        <f>('Pivot Table for Data Exchange'!$G$187)*100</f>
        <v>0</v>
      </c>
      <c r="C170" s="597">
        <f>('Pivot Table for Data Exchange'!$G$190)*100</f>
        <v>0</v>
      </c>
      <c r="D170" s="603">
        <f t="shared" si="28"/>
        <v>0</v>
      </c>
      <c r="E170" s="597">
        <f>('Pivot Table for Data Exchange'!$G$193)*100</f>
        <v>0</v>
      </c>
      <c r="F170" s="597">
        <f>('Pivot Table for Data Exchange'!$G$196)*100</f>
        <v>0</v>
      </c>
      <c r="G170" s="599">
        <f>('Pivot Table for Data Exchange'!$G$199)*100</f>
        <v>0</v>
      </c>
      <c r="H170" s="597">
        <f>('Pivot Table for Data Exchange'!$G$202)*100</f>
        <v>0</v>
      </c>
      <c r="I170" s="125" t="s">
        <v>180</v>
      </c>
      <c r="J170" s="597">
        <f>('Pivot Table for Data Exchange'!$G$205)*100</f>
        <v>0</v>
      </c>
      <c r="K170" s="597">
        <f>('Pivot Table for Data Exchange'!$G$208)*100</f>
        <v>0</v>
      </c>
      <c r="L170" s="603">
        <f t="shared" si="29"/>
        <v>0</v>
      </c>
      <c r="M170" s="597">
        <f>('Pivot Table for Data Exchange'!$G$211)*100</f>
        <v>0</v>
      </c>
      <c r="N170" s="597">
        <f>('Pivot Table for Data Exchange'!$G$214)*100</f>
        <v>0</v>
      </c>
      <c r="O170" s="599">
        <f>('Pivot Table for Data Exchange'!$G$217)*100</f>
        <v>0</v>
      </c>
      <c r="P170" s="597">
        <f>('Pivot Table for Data Exchange'!$G$220)*100</f>
        <v>0</v>
      </c>
      <c r="Q170" s="602">
        <f t="shared" si="24"/>
        <v>0</v>
      </c>
      <c r="R170" s="602">
        <f t="shared" si="25"/>
        <v>0</v>
      </c>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row>
    <row r="171" spans="1:41" ht="15.75" customHeight="1">
      <c r="A171" s="598" t="s">
        <v>181</v>
      </c>
      <c r="B171" s="597">
        <f>('Pivot Table for Data Exchange'!$G$223)*100</f>
        <v>0</v>
      </c>
      <c r="C171" s="597">
        <f>('Pivot Table for Data Exchange'!$G$226)*100</f>
        <v>0</v>
      </c>
      <c r="D171" s="603">
        <f>SUM(E171:G171)</f>
        <v>0</v>
      </c>
      <c r="E171" s="597">
        <f>('Pivot Table for Data Exchange'!$G$229)*100</f>
        <v>0</v>
      </c>
      <c r="F171" s="597">
        <f>('Pivot Table for Data Exchange'!$G$232)*100</f>
        <v>0</v>
      </c>
      <c r="G171" s="599">
        <f>('Pivot Table for Data Exchange'!$G$235)*100</f>
        <v>0</v>
      </c>
      <c r="H171" s="597">
        <f>('Pivot Table for Data Exchange'!$G$238)*100</f>
        <v>0</v>
      </c>
      <c r="I171" s="125" t="s">
        <v>181</v>
      </c>
      <c r="J171" s="597">
        <f>('Pivot Table for Data Exchange'!$G$241)*100</f>
        <v>0</v>
      </c>
      <c r="K171" s="597">
        <f>('Pivot Table for Data Exchange'!$G$244)*100</f>
        <v>0</v>
      </c>
      <c r="L171" s="603">
        <f>SUM(M171:O171)</f>
        <v>0</v>
      </c>
      <c r="M171" s="597">
        <f>('Pivot Table for Data Exchange'!$G$247)*100</f>
        <v>0</v>
      </c>
      <c r="N171" s="597">
        <f>('Pivot Table for Data Exchange'!$G$250)*100</f>
        <v>0</v>
      </c>
      <c r="O171" s="599">
        <f>('Pivot Table for Data Exchange'!$G$253)*100</f>
        <v>0</v>
      </c>
      <c r="P171" s="597">
        <f>('Pivot Table for Data Exchange'!$G$256)*100</f>
        <v>0</v>
      </c>
      <c r="Q171" s="602">
        <f t="shared" si="24"/>
        <v>0</v>
      </c>
      <c r="R171" s="602">
        <f t="shared" si="25"/>
        <v>0</v>
      </c>
      <c r="S171" s="136"/>
      <c r="T171" s="142"/>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row>
    <row r="172" spans="1:41" ht="15.75" customHeight="1">
      <c r="A172" s="102" t="s">
        <v>222</v>
      </c>
      <c r="B172" s="597">
        <f>('Pivot Table for Data Exchange'!$G$259)*100</f>
        <v>0</v>
      </c>
      <c r="C172" s="597">
        <f>('Pivot Table for Data Exchange'!$G$262)*100</f>
        <v>0</v>
      </c>
      <c r="D172" s="603">
        <f>SUM(E172:G172)</f>
        <v>0</v>
      </c>
      <c r="E172" s="597">
        <f>('Pivot Table for Data Exchange'!$G$265)*100</f>
        <v>0</v>
      </c>
      <c r="F172" s="597">
        <f>('Pivot Table for Data Exchange'!$G$268)*100</f>
        <v>0</v>
      </c>
      <c r="G172" s="599">
        <f>('Pivot Table for Data Exchange'!$G$271)*100</f>
        <v>0</v>
      </c>
      <c r="H172" s="597">
        <f>('Pivot Table for Data Exchange'!$G$274)*100</f>
        <v>0</v>
      </c>
      <c r="I172" s="125" t="s">
        <v>218</v>
      </c>
      <c r="J172" s="597">
        <f>('Pivot Table for Data Exchange'!$G$277)*100</f>
        <v>0</v>
      </c>
      <c r="K172" s="597">
        <f>('Pivot Table for Data Exchange'!$G$280)*100</f>
        <v>0</v>
      </c>
      <c r="L172" s="603">
        <f>SUM(M172:O172)</f>
        <v>0</v>
      </c>
      <c r="M172" s="597">
        <f>('Pivot Table for Data Exchange'!$G$283)*100</f>
        <v>0</v>
      </c>
      <c r="N172" s="597">
        <f>('Pivot Table for Data Exchange'!$G$286)*100</f>
        <v>0</v>
      </c>
      <c r="O172" s="599">
        <f>('Pivot Table for Data Exchange'!$G$289)*100</f>
        <v>0</v>
      </c>
      <c r="P172" s="597">
        <f>('Pivot Table for Data Exchange'!$G$292)*100</f>
        <v>0</v>
      </c>
      <c r="Q172" s="602">
        <f t="shared" si="24"/>
        <v>0</v>
      </c>
      <c r="R172" s="602">
        <f t="shared" si="25"/>
        <v>0</v>
      </c>
      <c r="S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row>
    <row r="173" spans="1:41" ht="11.25" customHeight="1">
      <c r="A173" s="102"/>
      <c r="B173" s="597"/>
      <c r="C173" s="597"/>
      <c r="D173" s="603"/>
      <c r="E173" s="597"/>
      <c r="F173" s="597"/>
      <c r="G173" s="599"/>
      <c r="H173" s="597"/>
      <c r="I173" s="125"/>
      <c r="J173" s="597"/>
      <c r="K173" s="597"/>
      <c r="L173" s="603"/>
      <c r="M173" s="597"/>
      <c r="N173" s="597"/>
      <c r="O173" s="599"/>
      <c r="P173" s="597"/>
      <c r="Q173" s="602">
        <f t="shared" si="24"/>
        <v>0</v>
      </c>
      <c r="R173" s="602">
        <f t="shared" si="25"/>
        <v>0</v>
      </c>
      <c r="S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row>
    <row r="174" spans="1:41" ht="15.75" customHeight="1">
      <c r="A174" s="102" t="s">
        <v>183</v>
      </c>
      <c r="B174" s="597">
        <f>('Pivot Table for Data Exchange'!$G$295)*100</f>
        <v>59.079616704128711</v>
      </c>
      <c r="C174" s="597">
        <f>('Pivot Table for Data Exchange'!$G$298)*100</f>
        <v>0</v>
      </c>
      <c r="D174" s="603">
        <f>SUM(E174:G174)</f>
        <v>40.920383295871289</v>
      </c>
      <c r="E174" s="597">
        <f>('Pivot Table for Data Exchange'!$G$301)*100</f>
        <v>40.920383295871289</v>
      </c>
      <c r="F174" s="597">
        <f>('Pivot Table for Data Exchange'!$G$304)*100</f>
        <v>0</v>
      </c>
      <c r="G174" s="599">
        <f>('Pivot Table for Data Exchange'!$G$307)*100</f>
        <v>0</v>
      </c>
      <c r="H174" s="597">
        <f>('Pivot Table for Data Exchange'!$G$310)*100</f>
        <v>0</v>
      </c>
      <c r="I174" s="125" t="s">
        <v>183</v>
      </c>
      <c r="J174" s="597">
        <f>('Pivot Table for Data Exchange'!$G$313)*100</f>
        <v>64.389671361502337</v>
      </c>
      <c r="K174" s="597">
        <f>('Pivot Table for Data Exchange'!$G$316)*100</f>
        <v>7.699530516431925</v>
      </c>
      <c r="L174" s="603">
        <f>SUM(M174:O174)</f>
        <v>27.910798122065728</v>
      </c>
      <c r="M174" s="597">
        <f>('Pivot Table for Data Exchange'!$G$319)*100</f>
        <v>27.910798122065728</v>
      </c>
      <c r="N174" s="597">
        <f>('Pivot Table for Data Exchange'!$G$322)*100</f>
        <v>0</v>
      </c>
      <c r="O174" s="599">
        <f>('Pivot Table for Data Exchange'!$G$325)*100</f>
        <v>0</v>
      </c>
      <c r="P174" s="597">
        <f>('Pivot Table for Data Exchange'!$G$328)*100</f>
        <v>0</v>
      </c>
      <c r="Q174" s="602">
        <f t="shared" si="24"/>
        <v>100</v>
      </c>
      <c r="R174" s="602">
        <f t="shared" si="25"/>
        <v>99.999999999999986</v>
      </c>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row>
    <row r="175" spans="1:41" ht="15.75" customHeight="1">
      <c r="A175" s="102" t="s">
        <v>184</v>
      </c>
      <c r="B175" s="597">
        <f>('Pivot Table for Data Exchange'!$G$331)*100</f>
        <v>78.719186661640052</v>
      </c>
      <c r="C175" s="597">
        <f>('Pivot Table for Data Exchange'!$G$334)*100</f>
        <v>5.1502511279475609</v>
      </c>
      <c r="D175" s="603">
        <f>SUM(E175:G175)</f>
        <v>16.130562210412386</v>
      </c>
      <c r="E175" s="597">
        <f>('Pivot Table for Data Exchange'!$G$337)*100</f>
        <v>15.97429130841917</v>
      </c>
      <c r="F175" s="597">
        <f>('Pivot Table for Data Exchange'!$G$340)*100</f>
        <v>0.15627090199321408</v>
      </c>
      <c r="G175" s="599">
        <f>('Pivot Table for Data Exchange'!$G$343)*100</f>
        <v>0</v>
      </c>
      <c r="H175" s="597">
        <f>('Pivot Table for Data Exchange'!$G$346)*100</f>
        <v>0</v>
      </c>
      <c r="I175" s="125" t="s">
        <v>184</v>
      </c>
      <c r="J175" s="597">
        <f>('Pivot Table for Data Exchange'!$G$349)*100</f>
        <v>58.750217126975855</v>
      </c>
      <c r="K175" s="597">
        <f>('Pivot Table for Data Exchange'!$G$352)*100</f>
        <v>6.7743616466909851</v>
      </c>
      <c r="L175" s="603">
        <f>SUM(M175:O175)</f>
        <v>34.475421226333161</v>
      </c>
      <c r="M175" s="597">
        <f>('Pivot Table for Data Exchange'!$G$355)*100</f>
        <v>33.680736494702103</v>
      </c>
      <c r="N175" s="597">
        <f>('Pivot Table for Data Exchange'!$G$358)*100</f>
        <v>0.79468473163105779</v>
      </c>
      <c r="O175" s="599">
        <f>('Pivot Table for Data Exchange'!$G$361)*100</f>
        <v>0</v>
      </c>
      <c r="P175" s="597">
        <f>('Pivot Table for Data Exchange'!$G$364)*100</f>
        <v>0</v>
      </c>
      <c r="Q175" s="602">
        <f t="shared" si="24"/>
        <v>100</v>
      </c>
      <c r="R175" s="602">
        <f t="shared" si="25"/>
        <v>100</v>
      </c>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row>
    <row r="176" spans="1:41" ht="15.75" customHeight="1">
      <c r="A176" s="102" t="s">
        <v>185</v>
      </c>
      <c r="B176" s="597">
        <f>('Pivot Table for Data Exchange'!$G$367)*100</f>
        <v>81.534039723735575</v>
      </c>
      <c r="C176" s="597">
        <f>('Pivot Table for Data Exchange'!$G$370)*100</f>
        <v>0.89279739178928408</v>
      </c>
      <c r="D176" s="603">
        <f>SUM(E176:G176)</f>
        <v>17.573162884475142</v>
      </c>
      <c r="E176" s="597">
        <f>('Pivot Table for Data Exchange'!$G$373)*100</f>
        <v>11.579426022049676</v>
      </c>
      <c r="F176" s="597">
        <f>('Pivot Table for Data Exchange'!$G$376)*100</f>
        <v>5.0223499635365281</v>
      </c>
      <c r="G176" s="599">
        <f>('Pivot Table for Data Exchange'!$G$379)*100</f>
        <v>0.97138689888893648</v>
      </c>
      <c r="H176" s="597">
        <f>('Pivot Table for Data Exchange'!$G$382)*100</f>
        <v>0</v>
      </c>
      <c r="I176" s="125" t="s">
        <v>185</v>
      </c>
      <c r="J176" s="597">
        <f>('Pivot Table for Data Exchange'!$G$385)*100</f>
        <v>59.458685378777034</v>
      </c>
      <c r="K176" s="597">
        <f>('Pivot Table for Data Exchange'!$G$388)*100</f>
        <v>0.84848918802806816</v>
      </c>
      <c r="L176" s="603">
        <f>SUM(M176:O176)</f>
        <v>39.692825433194898</v>
      </c>
      <c r="M176" s="597">
        <f>('Pivot Table for Data Exchange'!$G$391)*100</f>
        <v>24.054847486753545</v>
      </c>
      <c r="N176" s="597">
        <f>('Pivot Table for Data Exchange'!$G$394)*100</f>
        <v>14.359873979664901</v>
      </c>
      <c r="O176" s="599">
        <f>('Pivot Table for Data Exchange'!$G$397)*100</f>
        <v>1.2781039667764571</v>
      </c>
      <c r="P176" s="597">
        <f>('Pivot Table for Data Exchange'!$G$400)*100</f>
        <v>0</v>
      </c>
      <c r="Q176" s="602">
        <f t="shared" si="24"/>
        <v>100</v>
      </c>
      <c r="R176" s="602">
        <f t="shared" si="25"/>
        <v>100</v>
      </c>
      <c r="S176" s="136"/>
      <c r="T176" s="142"/>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row>
    <row r="177" spans="1:41" ht="15.75" customHeight="1">
      <c r="A177" s="102" t="s">
        <v>186</v>
      </c>
      <c r="B177" s="597">
        <f>('Pivot Table for Data Exchange'!$G$403)*100</f>
        <v>95.519819517071184</v>
      </c>
      <c r="C177" s="597">
        <f>('Pivot Table for Data Exchange'!$G$406)*100</f>
        <v>0.52334056092690151</v>
      </c>
      <c r="D177" s="603">
        <f>SUM(E177:G177)</f>
        <v>3.9568399220019219</v>
      </c>
      <c r="E177" s="597">
        <f>('Pivot Table for Data Exchange'!$G$409)*100</f>
        <v>3.7828211587980074</v>
      </c>
      <c r="F177" s="597">
        <f>('Pivot Table for Data Exchange'!$G$412)*100</f>
        <v>0</v>
      </c>
      <c r="G177" s="599">
        <f>('Pivot Table for Data Exchange'!$G$415)*100</f>
        <v>0.17401876320391446</v>
      </c>
      <c r="H177" s="597">
        <f>('Pivot Table for Data Exchange'!$G$418)*100</f>
        <v>0</v>
      </c>
      <c r="I177" s="125" t="s">
        <v>186</v>
      </c>
      <c r="J177" s="597">
        <f>('Pivot Table for Data Exchange'!$G$421)*100</f>
        <v>71.406041489748873</v>
      </c>
      <c r="K177" s="597">
        <f>('Pivot Table for Data Exchange'!$G$424)*100</f>
        <v>13.081806785555422</v>
      </c>
      <c r="L177" s="603">
        <f>SUM(M177:O177)</f>
        <v>15.512151724695702</v>
      </c>
      <c r="M177" s="597">
        <f>('Pivot Table for Data Exchange'!$G$427)*100</f>
        <v>14.85705042662461</v>
      </c>
      <c r="N177" s="597">
        <f>('Pivot Table for Data Exchange'!$G$430)*100</f>
        <v>0</v>
      </c>
      <c r="O177" s="599">
        <f>('Pivot Table for Data Exchange'!$G$433)*100</f>
        <v>0.65510129807109063</v>
      </c>
      <c r="P177" s="597">
        <f>('Pivot Table for Data Exchange'!$G$436)*100</f>
        <v>0</v>
      </c>
      <c r="Q177" s="602">
        <f t="shared" si="24"/>
        <v>100</v>
      </c>
      <c r="R177" s="602">
        <f t="shared" si="25"/>
        <v>99.999999999999986</v>
      </c>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row>
    <row r="178" spans="1:41" ht="11.25" customHeight="1">
      <c r="A178" s="102"/>
      <c r="B178" s="597"/>
      <c r="C178" s="597"/>
      <c r="D178" s="603"/>
      <c r="E178" s="597"/>
      <c r="F178" s="597"/>
      <c r="G178" s="599"/>
      <c r="H178" s="597"/>
      <c r="I178" s="125"/>
      <c r="J178" s="597"/>
      <c r="K178" s="597"/>
      <c r="L178" s="603"/>
      <c r="M178" s="597"/>
      <c r="N178" s="597"/>
      <c r="O178" s="599"/>
      <c r="P178" s="597"/>
      <c r="Q178" s="602">
        <f t="shared" si="24"/>
        <v>0</v>
      </c>
      <c r="R178" s="602">
        <f t="shared" si="25"/>
        <v>0</v>
      </c>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row>
    <row r="179" spans="1:41" ht="15.75" customHeight="1">
      <c r="A179" s="102" t="s">
        <v>187</v>
      </c>
      <c r="B179" s="597">
        <f>('Pivot Table for Data Exchange'!$G$439)*100</f>
        <v>81.983120304419941</v>
      </c>
      <c r="C179" s="597">
        <f>('Pivot Table for Data Exchange'!$G$442)*100</f>
        <v>10.237584154551664</v>
      </c>
      <c r="D179" s="603">
        <f>SUM(E179:G179)</f>
        <v>7.6690408820372715</v>
      </c>
      <c r="E179" s="597">
        <f>('Pivot Table for Data Exchange'!$G$445)*100</f>
        <v>6.7660259537515852</v>
      </c>
      <c r="F179" s="597">
        <f>('Pivot Table for Data Exchange'!$G$448)*100</f>
        <v>0.85764464825836673</v>
      </c>
      <c r="G179" s="105">
        <f>('Pivot Table for Data Exchange'!$G$451)*100</f>
        <v>4.5370280027319736E-2</v>
      </c>
      <c r="H179" s="597">
        <f>('Pivot Table for Data Exchange'!$G$454)*100</f>
        <v>0.11025465899112108</v>
      </c>
      <c r="I179" s="125" t="s">
        <v>187</v>
      </c>
      <c r="J179" s="597">
        <f>('Pivot Table for Data Exchange'!$G$457)*100</f>
        <v>29.943268299432685</v>
      </c>
      <c r="K179" s="597">
        <f>('Pivot Table for Data Exchange'!$G$460)*100</f>
        <v>0.20755500207555005</v>
      </c>
      <c r="L179" s="603">
        <f>SUM(M179:O179)</f>
        <v>69.849176698491775</v>
      </c>
      <c r="M179" s="597">
        <f>('Pivot Table for Data Exchange'!$G$463)*100</f>
        <v>69.392555693925559</v>
      </c>
      <c r="N179" s="597">
        <f>('Pivot Table for Data Exchange'!$G$466)*100</f>
        <v>0.45662100456621002</v>
      </c>
      <c r="O179" s="599">
        <f>('Pivot Table for Data Exchange'!$G$469)*100</f>
        <v>0</v>
      </c>
      <c r="P179" s="597">
        <f>('Pivot Table for Data Exchange'!$G$472)*100</f>
        <v>0</v>
      </c>
      <c r="Q179" s="602">
        <f t="shared" si="24"/>
        <v>100</v>
      </c>
      <c r="R179" s="602">
        <f t="shared" si="25"/>
        <v>100.00000000000001</v>
      </c>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row>
    <row r="180" spans="1:41" ht="15.75" customHeight="1">
      <c r="A180" s="102" t="s">
        <v>188</v>
      </c>
      <c r="B180" s="597">
        <f>('Pivot Table for Data Exchange'!$G$475)*100</f>
        <v>69.741238908233186</v>
      </c>
      <c r="C180" s="597">
        <f>('Pivot Table for Data Exchange'!$G$478)*100</f>
        <v>4.0583230371784786</v>
      </c>
      <c r="D180" s="603">
        <f>SUM(E180:G180)</f>
        <v>26.200438054588339</v>
      </c>
      <c r="E180" s="597">
        <f>('Pivot Table for Data Exchange'!$G$481)*100</f>
        <v>24.528950915421767</v>
      </c>
      <c r="F180" s="597">
        <f>('Pivot Table for Data Exchange'!$G$484)*100</f>
        <v>1.6714871391665731</v>
      </c>
      <c r="G180" s="599">
        <f>('Pivot Table for Data Exchange'!$G$487)*100</f>
        <v>0</v>
      </c>
      <c r="H180" s="597">
        <f>('Pivot Table for Data Exchange'!$G$490)*100</f>
        <v>0</v>
      </c>
      <c r="I180" s="125" t="s">
        <v>188</v>
      </c>
      <c r="J180" s="597">
        <f>('Pivot Table for Data Exchange'!$G$493)*100</f>
        <v>64.077134986225886</v>
      </c>
      <c r="K180" s="597">
        <f>('Pivot Table for Data Exchange'!$G$496)*100</f>
        <v>0.66115702479338845</v>
      </c>
      <c r="L180" s="603">
        <f>SUM(M180:O180)</f>
        <v>35.261707988980717</v>
      </c>
      <c r="M180" s="597">
        <f>('Pivot Table for Data Exchange'!$G$499)*100</f>
        <v>30.082644628099175</v>
      </c>
      <c r="N180" s="597">
        <f>('Pivot Table for Data Exchange'!$G$502)*100</f>
        <v>5.1790633608815426</v>
      </c>
      <c r="O180" s="599">
        <f>('Pivot Table for Data Exchange'!$G$505)*100</f>
        <v>0</v>
      </c>
      <c r="P180" s="597">
        <f>('Pivot Table for Data Exchange'!$G$508)*100</f>
        <v>0</v>
      </c>
      <c r="Q180" s="602">
        <f t="shared" si="24"/>
        <v>100</v>
      </c>
      <c r="R180" s="602">
        <f t="shared" si="25"/>
        <v>99.999999999999986</v>
      </c>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row>
    <row r="181" spans="1:41" ht="15.75" customHeight="1">
      <c r="A181" s="102" t="s">
        <v>189</v>
      </c>
      <c r="B181" s="597">
        <f>('Pivot Table for Data Exchange'!$G$511)*100</f>
        <v>94.919192277803418</v>
      </c>
      <c r="C181" s="597">
        <f>('Pivot Table for Data Exchange'!$G$514)*100</f>
        <v>0.30808313905555357</v>
      </c>
      <c r="D181" s="603">
        <f>SUM(E181:G181)</f>
        <v>4.7727245831410281</v>
      </c>
      <c r="E181" s="597">
        <f>('Pivot Table for Data Exchange'!$G$517)*100</f>
        <v>4.7395888806049635</v>
      </c>
      <c r="F181" s="104">
        <f>('Pivot Table for Data Exchange'!$G$520)*100</f>
        <v>3.3135702536064661E-2</v>
      </c>
      <c r="G181" s="599">
        <f>('Pivot Table for Data Exchange'!$G$523)*100</f>
        <v>0</v>
      </c>
      <c r="H181" s="597">
        <f>('Pivot Table for Data Exchange'!$G$526)*100</f>
        <v>0</v>
      </c>
      <c r="I181" s="125" t="s">
        <v>189</v>
      </c>
      <c r="J181" s="597">
        <f>('Pivot Table for Data Exchange'!$G$529)*100</f>
        <v>69.693328756150592</v>
      </c>
      <c r="K181" s="597">
        <f>('Pivot Table for Data Exchange'!$G$532)*100</f>
        <v>10.97379562879048</v>
      </c>
      <c r="L181" s="603">
        <f>SUM(M181:O181)</f>
        <v>19.332875615058931</v>
      </c>
      <c r="M181" s="597">
        <f>('Pivot Table for Data Exchange'!$G$535)*100</f>
        <v>19.332875615058931</v>
      </c>
      <c r="N181" s="597">
        <f>('Pivot Table for Data Exchange'!$G$538)*100</f>
        <v>0</v>
      </c>
      <c r="O181" s="599">
        <f>('Pivot Table for Data Exchange'!$G$541)*100</f>
        <v>0</v>
      </c>
      <c r="P181" s="597">
        <f>('Pivot Table for Data Exchange'!$G$544)*100</f>
        <v>0</v>
      </c>
      <c r="Q181" s="602">
        <f t="shared" si="24"/>
        <v>100</v>
      </c>
      <c r="R181" s="602">
        <f t="shared" si="25"/>
        <v>100</v>
      </c>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row>
    <row r="182" spans="1:41" ht="15.75" customHeight="1">
      <c r="A182" s="596" t="s">
        <v>190</v>
      </c>
      <c r="B182" s="600">
        <f>('Pivot Table for Data Exchange'!$G$547)*100</f>
        <v>86.723018423909991</v>
      </c>
      <c r="C182" s="600">
        <f>('Pivot Table for Data Exchange'!$G$550)*100</f>
        <v>6.4256576414453619</v>
      </c>
      <c r="D182" s="604">
        <f>SUM(E182:G182)</f>
        <v>6.8513239346446513</v>
      </c>
      <c r="E182" s="600">
        <f>('Pivot Table for Data Exchange'!$G$553)*100</f>
        <v>6.8513239346446513</v>
      </c>
      <c r="F182" s="600">
        <f>('Pivot Table for Data Exchange'!$G$556)*100</f>
        <v>0</v>
      </c>
      <c r="G182" s="601">
        <f>('Pivot Table for Data Exchange'!$G$559)*100</f>
        <v>0</v>
      </c>
      <c r="H182" s="600">
        <f>('Pivot Table for Data Exchange'!$G$562)*100</f>
        <v>0</v>
      </c>
      <c r="I182" s="619" t="s">
        <v>190</v>
      </c>
      <c r="J182" s="600">
        <f>('Pivot Table for Data Exchange'!$G$565)*100</f>
        <v>52.140891579526695</v>
      </c>
      <c r="K182" s="600">
        <f>('Pivot Table for Data Exchange'!$G$568)*100</f>
        <v>0</v>
      </c>
      <c r="L182" s="604">
        <f>SUM(M182:O182)</f>
        <v>47.859108420473305</v>
      </c>
      <c r="M182" s="600">
        <f>('Pivot Table for Data Exchange'!$G$571)*100</f>
        <v>47.859108420473305</v>
      </c>
      <c r="N182" s="600">
        <f>('Pivot Table for Data Exchange'!$G$574)*100</f>
        <v>0</v>
      </c>
      <c r="O182" s="601">
        <f>('Pivot Table for Data Exchange'!$G$577)*100</f>
        <v>0</v>
      </c>
      <c r="P182" s="600">
        <f>('Pivot Table for Data Exchange'!$G$580)*100</f>
        <v>0</v>
      </c>
      <c r="Q182" s="602">
        <f t="shared" si="24"/>
        <v>100</v>
      </c>
      <c r="R182" s="602">
        <f t="shared" si="25"/>
        <v>100</v>
      </c>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row>
    <row r="183" spans="1:41" s="141" customFormat="1" ht="18" customHeight="1">
      <c r="A183" s="43" t="s">
        <v>219</v>
      </c>
      <c r="B183" s="106"/>
      <c r="C183" s="106"/>
      <c r="D183" s="107"/>
      <c r="E183" s="106"/>
      <c r="F183" s="107"/>
      <c r="G183" s="107"/>
      <c r="H183" s="106"/>
      <c r="I183" s="43" t="s">
        <v>219</v>
      </c>
      <c r="J183" s="106"/>
      <c r="K183" s="106"/>
      <c r="L183" s="107"/>
      <c r="M183" s="106"/>
      <c r="N183" s="107"/>
      <c r="O183" s="107"/>
      <c r="P183" s="106"/>
      <c r="Q183" s="602">
        <f t="shared" si="24"/>
        <v>0</v>
      </c>
      <c r="R183" s="602">
        <f t="shared" si="25"/>
        <v>0</v>
      </c>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row>
    <row r="184" spans="1:41" s="141" customFormat="1" ht="25.5" customHeight="1">
      <c r="A184" s="658" t="s">
        <v>220</v>
      </c>
      <c r="B184" s="659"/>
      <c r="C184" s="659"/>
      <c r="D184" s="659"/>
      <c r="E184" s="659"/>
      <c r="F184" s="659"/>
      <c r="G184" s="659"/>
      <c r="H184" s="659"/>
      <c r="I184" s="658" t="s">
        <v>220</v>
      </c>
      <c r="J184" s="659"/>
      <c r="K184" s="659"/>
      <c r="L184" s="659"/>
      <c r="M184" s="659"/>
      <c r="N184" s="659"/>
      <c r="O184" s="659"/>
      <c r="P184" s="659"/>
      <c r="Q184" s="602">
        <f t="shared" si="24"/>
        <v>0</v>
      </c>
      <c r="R184" s="602">
        <f t="shared" si="25"/>
        <v>0</v>
      </c>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row>
    <row r="185" spans="1:41" s="141" customFormat="1" ht="16.5" customHeight="1">
      <c r="A185" s="116"/>
      <c r="B185" s="150"/>
      <c r="C185" s="150"/>
      <c r="D185" s="150"/>
      <c r="E185" s="150"/>
      <c r="F185" s="150"/>
      <c r="G185" s="151"/>
      <c r="H185" s="151"/>
      <c r="I185" s="116"/>
      <c r="J185" s="150"/>
      <c r="K185" s="150"/>
      <c r="L185" s="150"/>
      <c r="M185" s="150"/>
      <c r="N185" s="150"/>
      <c r="O185" s="150"/>
      <c r="P185" s="151"/>
      <c r="Q185" s="602">
        <f t="shared" si="24"/>
        <v>0</v>
      </c>
      <c r="R185" s="602">
        <f t="shared" si="25"/>
        <v>0</v>
      </c>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row>
    <row r="186" spans="1:41" s="141" customFormat="1" ht="13.5" customHeight="1">
      <c r="A186" s="43"/>
      <c r="B186" s="114"/>
      <c r="C186" s="45"/>
      <c r="D186" s="45"/>
      <c r="E186" s="45"/>
      <c r="F186" s="45"/>
      <c r="G186" s="45"/>
      <c r="H186" s="49" t="s">
        <v>900</v>
      </c>
      <c r="I186" s="43"/>
      <c r="J186" s="45"/>
      <c r="K186" s="45"/>
      <c r="L186" s="45"/>
      <c r="M186" s="45"/>
      <c r="N186" s="45"/>
      <c r="O186" s="45"/>
      <c r="P186" s="49" t="s">
        <v>900</v>
      </c>
      <c r="Q186" s="602">
        <f t="shared" si="24"/>
        <v>0</v>
      </c>
      <c r="R186" s="602">
        <f t="shared" si="25"/>
        <v>0</v>
      </c>
    </row>
    <row r="187" spans="1:41" ht="18">
      <c r="A187" s="16" t="s">
        <v>271</v>
      </c>
      <c r="B187" s="71"/>
      <c r="C187" s="71"/>
      <c r="D187" s="71"/>
      <c r="E187" s="71"/>
      <c r="F187" s="71"/>
      <c r="G187" s="71"/>
      <c r="H187" s="72"/>
      <c r="I187" s="16" t="s">
        <v>286</v>
      </c>
      <c r="J187" s="23"/>
      <c r="K187" s="23"/>
      <c r="L187" s="71"/>
      <c r="M187" s="23"/>
      <c r="N187" s="23"/>
      <c r="O187" s="23"/>
      <c r="P187" s="23"/>
      <c r="Q187" s="602">
        <f t="shared" si="24"/>
        <v>0</v>
      </c>
      <c r="R187" s="602">
        <f t="shared" si="25"/>
        <v>0</v>
      </c>
    </row>
    <row r="188" spans="1:41">
      <c r="A188" s="22"/>
      <c r="B188" s="23"/>
      <c r="C188" s="23"/>
      <c r="D188" s="23"/>
      <c r="E188" s="23"/>
      <c r="F188" s="23"/>
      <c r="G188" s="23"/>
      <c r="H188" s="73"/>
      <c r="I188" s="22"/>
      <c r="J188" s="23"/>
      <c r="K188" s="23"/>
      <c r="L188" s="23"/>
      <c r="M188" s="23"/>
      <c r="N188" s="23"/>
      <c r="O188" s="23"/>
      <c r="P188" s="23"/>
      <c r="Q188" s="602">
        <f t="shared" si="24"/>
        <v>0</v>
      </c>
      <c r="R188" s="602">
        <f t="shared" si="25"/>
        <v>0</v>
      </c>
    </row>
    <row r="189" spans="1:41" ht="15.75">
      <c r="A189" s="74" t="s">
        <v>205</v>
      </c>
      <c r="B189" s="23"/>
      <c r="C189" s="23"/>
      <c r="D189" s="23"/>
      <c r="E189" s="23"/>
      <c r="F189" s="23"/>
      <c r="G189" s="23"/>
      <c r="H189" s="73"/>
      <c r="I189" s="74" t="s">
        <v>206</v>
      </c>
      <c r="J189" s="23"/>
      <c r="K189" s="23"/>
      <c r="L189" s="23"/>
      <c r="M189" s="23"/>
      <c r="N189" s="23"/>
      <c r="O189" s="23"/>
      <c r="P189" s="23"/>
      <c r="Q189" s="602">
        <f t="shared" si="24"/>
        <v>0</v>
      </c>
      <c r="R189" s="602">
        <f t="shared" si="25"/>
        <v>0</v>
      </c>
    </row>
    <row r="190" spans="1:41" ht="15.75">
      <c r="A190" s="74" t="s">
        <v>887</v>
      </c>
      <c r="B190" s="23"/>
      <c r="C190" s="23"/>
      <c r="D190" s="23"/>
      <c r="E190" s="23"/>
      <c r="F190" s="23"/>
      <c r="G190" s="23"/>
      <c r="H190" s="73"/>
      <c r="I190" s="74" t="s">
        <v>887</v>
      </c>
      <c r="J190" s="23"/>
      <c r="K190" s="23"/>
      <c r="L190" s="23"/>
      <c r="M190" s="23"/>
      <c r="N190" s="23"/>
      <c r="O190" s="23"/>
      <c r="P190" s="23"/>
      <c r="Q190" s="602">
        <f t="shared" si="24"/>
        <v>0</v>
      </c>
      <c r="R190" s="602">
        <f t="shared" si="25"/>
        <v>0</v>
      </c>
    </row>
    <row r="191" spans="1:41">
      <c r="A191" s="76"/>
      <c r="B191" s="77"/>
      <c r="C191" s="77"/>
      <c r="D191" s="77"/>
      <c r="E191" s="77"/>
      <c r="F191" s="77"/>
      <c r="G191" s="77"/>
      <c r="H191" s="77"/>
      <c r="I191" s="78"/>
      <c r="L191" s="79"/>
      <c r="P191" s="76"/>
      <c r="Q191" s="602">
        <f t="shared" si="24"/>
        <v>0</v>
      </c>
      <c r="R191" s="602">
        <f t="shared" si="25"/>
        <v>0</v>
      </c>
    </row>
    <row r="192" spans="1:41" s="94" customFormat="1">
      <c r="A192" s="80"/>
      <c r="B192" s="81" t="s">
        <v>207</v>
      </c>
      <c r="C192" s="81"/>
      <c r="D192" s="81"/>
      <c r="E192" s="81"/>
      <c r="F192" s="81"/>
      <c r="G192" s="81"/>
      <c r="H192" s="82"/>
      <c r="I192" s="80"/>
      <c r="J192" s="81" t="s">
        <v>207</v>
      </c>
      <c r="K192" s="81"/>
      <c r="L192" s="81"/>
      <c r="M192" s="81"/>
      <c r="N192" s="81"/>
      <c r="O192" s="81"/>
      <c r="P192" s="82"/>
      <c r="Q192" s="602">
        <f t="shared" si="24"/>
        <v>0</v>
      </c>
      <c r="R192" s="602">
        <f t="shared" si="25"/>
        <v>0</v>
      </c>
    </row>
    <row r="193" spans="1:41" s="94" customFormat="1">
      <c r="A193" s="80"/>
      <c r="B193" s="81" t="s">
        <v>208</v>
      </c>
      <c r="C193" s="81"/>
      <c r="D193" s="653" t="s">
        <v>209</v>
      </c>
      <c r="E193" s="654"/>
      <c r="F193" s="654"/>
      <c r="G193" s="654"/>
      <c r="H193" s="86" t="s">
        <v>39</v>
      </c>
      <c r="I193" s="80"/>
      <c r="J193" s="81" t="s">
        <v>208</v>
      </c>
      <c r="K193" s="81"/>
      <c r="L193" s="653" t="s">
        <v>209</v>
      </c>
      <c r="M193" s="654"/>
      <c r="N193" s="654"/>
      <c r="O193" s="654"/>
      <c r="P193" s="86" t="s">
        <v>39</v>
      </c>
      <c r="Q193" s="602">
        <f t="shared" si="24"/>
        <v>0</v>
      </c>
      <c r="R193" s="602">
        <f t="shared" si="25"/>
        <v>0</v>
      </c>
    </row>
    <row r="194" spans="1:41" s="94" customFormat="1" ht="40.5" customHeight="1">
      <c r="A194" s="80"/>
      <c r="B194" s="87" t="s">
        <v>210</v>
      </c>
      <c r="C194" s="88" t="s">
        <v>211</v>
      </c>
      <c r="D194" s="89" t="s">
        <v>212</v>
      </c>
      <c r="E194" s="90" t="s">
        <v>7</v>
      </c>
      <c r="F194" s="87" t="s">
        <v>213</v>
      </c>
      <c r="G194" s="91" t="s">
        <v>214</v>
      </c>
      <c r="H194" s="92" t="s">
        <v>215</v>
      </c>
      <c r="I194" s="80"/>
      <c r="J194" s="87" t="s">
        <v>210</v>
      </c>
      <c r="K194" s="88" t="s">
        <v>211</v>
      </c>
      <c r="L194" s="89" t="s">
        <v>212</v>
      </c>
      <c r="M194" s="90" t="s">
        <v>7</v>
      </c>
      <c r="N194" s="87" t="s">
        <v>213</v>
      </c>
      <c r="O194" s="91" t="s">
        <v>214</v>
      </c>
      <c r="P194" s="92" t="s">
        <v>215</v>
      </c>
      <c r="Q194" s="602">
        <f t="shared" si="24"/>
        <v>0</v>
      </c>
      <c r="R194" s="602">
        <f t="shared" si="25"/>
        <v>0</v>
      </c>
      <c r="T194" s="93"/>
    </row>
    <row r="195" spans="1:41" ht="15.75" customHeight="1">
      <c r="A195" s="99" t="s">
        <v>175</v>
      </c>
      <c r="B195" s="120">
        <f>('Pivot Table for Data Exchange'!$H$7)*100</f>
        <v>24.173298172738093</v>
      </c>
      <c r="C195" s="597">
        <f>('Pivot Table for Data Exchange'!$H$10)*100</f>
        <v>4.4666402184313085</v>
      </c>
      <c r="D195" s="603">
        <f>SUM(E195:G195)</f>
        <v>71.360061608830591</v>
      </c>
      <c r="E195" s="597">
        <f>('Pivot Table for Data Exchange'!$H$13)*100</f>
        <v>71.360061608830591</v>
      </c>
      <c r="F195" s="597">
        <f>('Pivot Table for Data Exchange'!$H$16)*100</f>
        <v>0</v>
      </c>
      <c r="G195" s="97">
        <f>('Pivot Table for Data Exchange'!$H$19)*100</f>
        <v>0</v>
      </c>
      <c r="H195" s="597">
        <f>('Pivot Table for Data Exchange'!$H$22)*100</f>
        <v>0</v>
      </c>
      <c r="I195" s="618" t="s">
        <v>175</v>
      </c>
      <c r="J195" s="597">
        <f>('Pivot Table for Data Exchange'!$H$25)*100</f>
        <v>0</v>
      </c>
      <c r="K195" s="597">
        <f>('Pivot Table for Data Exchange'!$H$28)*100</f>
        <v>0</v>
      </c>
      <c r="L195" s="603">
        <f>SUM(M195:O195)</f>
        <v>0</v>
      </c>
      <c r="M195" s="597">
        <f>('Pivot Table for Data Exchange'!$H$31)*100</f>
        <v>0</v>
      </c>
      <c r="N195" s="597">
        <f>('Pivot Table for Data Exchange'!$H$34)*100</f>
        <v>0</v>
      </c>
      <c r="O195" s="97">
        <f>('Pivot Table for Data Exchange'!$H$37)*100</f>
        <v>0</v>
      </c>
      <c r="P195" s="597">
        <f>('Pivot Table for Data Exchange'!$H$40)*100</f>
        <v>0</v>
      </c>
      <c r="Q195" s="602">
        <f t="shared" si="24"/>
        <v>100</v>
      </c>
      <c r="R195" s="602">
        <f t="shared" si="25"/>
        <v>0</v>
      </c>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c r="AO195" s="136"/>
    </row>
    <row r="196" spans="1:41" ht="15.75" customHeight="1">
      <c r="A196" s="102" t="s">
        <v>176</v>
      </c>
      <c r="B196" s="597">
        <f>('Pivot Table for Data Exchange'!$H$43)*100</f>
        <v>87.279587553934022</v>
      </c>
      <c r="C196" s="597">
        <f>('Pivot Table for Data Exchange'!$H$46)*100</f>
        <v>1.161162516434066</v>
      </c>
      <c r="D196" s="603">
        <f t="shared" ref="D196:D198" si="30">SUM(E196:G196)</f>
        <v>11.559249929631914</v>
      </c>
      <c r="E196" s="597">
        <f>('Pivot Table for Data Exchange'!$H$49)*100</f>
        <v>9.9648337709812704</v>
      </c>
      <c r="F196" s="597">
        <f>('Pivot Table for Data Exchange'!$H$52)*100</f>
        <v>1.5944161586506429</v>
      </c>
      <c r="G196" s="599">
        <f>('Pivot Table for Data Exchange'!$H$55)*100</f>
        <v>0</v>
      </c>
      <c r="H196" s="597">
        <f>('Pivot Table for Data Exchange'!$H$58)*100</f>
        <v>0</v>
      </c>
      <c r="I196" s="125" t="s">
        <v>176</v>
      </c>
      <c r="J196" s="597">
        <f>('Pivot Table for Data Exchange'!$H$61)*100</f>
        <v>86.472148541114052</v>
      </c>
      <c r="K196" s="597">
        <f>('Pivot Table for Data Exchange'!$H$64)*100</f>
        <v>0</v>
      </c>
      <c r="L196" s="603">
        <f t="shared" ref="L196:L198" si="31">SUM(M196:O196)</f>
        <v>13.527851458885941</v>
      </c>
      <c r="M196" s="597">
        <f>('Pivot Table for Data Exchange'!$H$67)*100</f>
        <v>6.0477453580901859</v>
      </c>
      <c r="N196" s="597">
        <f>('Pivot Table for Data Exchange'!$H$70)*100</f>
        <v>7.480106100795755</v>
      </c>
      <c r="O196" s="599">
        <f>('Pivot Table for Data Exchange'!$H$73)*100</f>
        <v>0</v>
      </c>
      <c r="P196" s="597">
        <f>('Pivot Table for Data Exchange'!$H$76)*100</f>
        <v>0</v>
      </c>
      <c r="Q196" s="602">
        <f t="shared" si="24"/>
        <v>100</v>
      </c>
      <c r="R196" s="602">
        <f t="shared" si="25"/>
        <v>100</v>
      </c>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c r="AO196" s="136"/>
    </row>
    <row r="197" spans="1:41" ht="15.75" customHeight="1">
      <c r="A197" s="102" t="s">
        <v>177</v>
      </c>
      <c r="B197" s="597">
        <f>('Pivot Table for Data Exchange'!$H$79)*100</f>
        <v>0</v>
      </c>
      <c r="C197" s="597">
        <f>('Pivot Table for Data Exchange'!$H$82)*100</f>
        <v>0</v>
      </c>
      <c r="D197" s="603">
        <f t="shared" si="30"/>
        <v>0</v>
      </c>
      <c r="E197" s="597">
        <f>('Pivot Table for Data Exchange'!$H$85)*100</f>
        <v>0</v>
      </c>
      <c r="F197" s="597">
        <f>('Pivot Table for Data Exchange'!$H$88)*100</f>
        <v>0</v>
      </c>
      <c r="G197" s="599">
        <f>('Pivot Table for Data Exchange'!$H$91)*100</f>
        <v>0</v>
      </c>
      <c r="H197" s="597">
        <f>('Pivot Table for Data Exchange'!$H$94)*100</f>
        <v>0</v>
      </c>
      <c r="I197" s="125" t="s">
        <v>177</v>
      </c>
      <c r="J197" s="597">
        <f>('Pivot Table for Data Exchange'!$H$97)*100</f>
        <v>0</v>
      </c>
      <c r="K197" s="597">
        <f>('Pivot Table for Data Exchange'!$H$100)*100</f>
        <v>0</v>
      </c>
      <c r="L197" s="603">
        <f t="shared" si="31"/>
        <v>0</v>
      </c>
      <c r="M197" s="597">
        <f>('Pivot Table for Data Exchange'!$H$103)*100</f>
        <v>0</v>
      </c>
      <c r="N197" s="597">
        <f>('Pivot Table for Data Exchange'!$H$106)*100</f>
        <v>0</v>
      </c>
      <c r="O197" s="599">
        <f>('Pivot Table for Data Exchange'!$H$109)*100</f>
        <v>0</v>
      </c>
      <c r="P197" s="597">
        <f>('Pivot Table for Data Exchange'!$H$112)*100</f>
        <v>0</v>
      </c>
      <c r="Q197" s="602">
        <f t="shared" si="24"/>
        <v>0</v>
      </c>
      <c r="R197" s="602">
        <f t="shared" si="25"/>
        <v>0</v>
      </c>
      <c r="S197" s="136"/>
      <c r="T197" s="142"/>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row>
    <row r="198" spans="1:41" ht="15.75" customHeight="1">
      <c r="A198" s="102" t="s">
        <v>217</v>
      </c>
      <c r="B198" s="597">
        <f>('Pivot Table for Data Exchange'!$H$115)*100</f>
        <v>100</v>
      </c>
      <c r="C198" s="597">
        <f>('Pivot Table for Data Exchange'!$H$118)*100</f>
        <v>0</v>
      </c>
      <c r="D198" s="603">
        <f t="shared" si="30"/>
        <v>0</v>
      </c>
      <c r="E198" s="597">
        <f>('Pivot Table for Data Exchange'!$H$121)*100</f>
        <v>0</v>
      </c>
      <c r="F198" s="597">
        <f>('Pivot Table for Data Exchange'!$H$124)*100</f>
        <v>0</v>
      </c>
      <c r="G198" s="599">
        <f>('Pivot Table for Data Exchange'!$H$127)*100</f>
        <v>0</v>
      </c>
      <c r="H198" s="597">
        <f>('Pivot Table for Data Exchange'!$H$130)*100</f>
        <v>0</v>
      </c>
      <c r="I198" s="125" t="s">
        <v>217</v>
      </c>
      <c r="J198" s="597">
        <f>('Pivot Table for Data Exchange'!$H$133)*100</f>
        <v>0</v>
      </c>
      <c r="K198" s="597">
        <f>('Pivot Table for Data Exchange'!$H$136)*100</f>
        <v>0</v>
      </c>
      <c r="L198" s="603">
        <f t="shared" si="31"/>
        <v>0</v>
      </c>
      <c r="M198" s="597">
        <f>('Pivot Table for Data Exchange'!$H$139)*100</f>
        <v>0</v>
      </c>
      <c r="N198" s="597">
        <f>('Pivot Table for Data Exchange'!$H$142)*100</f>
        <v>0</v>
      </c>
      <c r="O198" s="599">
        <f>('Pivot Table for Data Exchange'!$H$145)*100</f>
        <v>0</v>
      </c>
      <c r="P198" s="597">
        <f>('Pivot Table for Data Exchange'!$H$148)*100</f>
        <v>0</v>
      </c>
      <c r="Q198" s="602">
        <f t="shared" si="24"/>
        <v>100</v>
      </c>
      <c r="R198" s="602">
        <f t="shared" si="25"/>
        <v>0</v>
      </c>
      <c r="S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row>
    <row r="199" spans="1:41" ht="15.75" customHeight="1">
      <c r="A199" s="102"/>
      <c r="B199" s="597"/>
      <c r="C199" s="597"/>
      <c r="D199" s="603"/>
      <c r="E199" s="597"/>
      <c r="F199" s="597"/>
      <c r="G199" s="599"/>
      <c r="H199" s="597"/>
      <c r="I199" s="125"/>
      <c r="J199" s="597"/>
      <c r="K199" s="597"/>
      <c r="L199" s="603"/>
      <c r="M199" s="597"/>
      <c r="N199" s="597"/>
      <c r="O199" s="599"/>
      <c r="P199" s="597"/>
      <c r="Q199" s="602">
        <f t="shared" si="24"/>
        <v>0</v>
      </c>
      <c r="R199" s="602">
        <f t="shared" si="25"/>
        <v>0</v>
      </c>
      <c r="S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row>
    <row r="200" spans="1:41" ht="15.75" customHeight="1">
      <c r="A200" s="102" t="s">
        <v>179</v>
      </c>
      <c r="B200" s="597">
        <f>('Pivot Table for Data Exchange'!$H$151)*100</f>
        <v>0</v>
      </c>
      <c r="C200" s="597">
        <f>('Pivot Table for Data Exchange'!$H$154)*100</f>
        <v>0</v>
      </c>
      <c r="D200" s="603">
        <f t="shared" ref="D200:D201" si="32">SUM(E200:G200)</f>
        <v>0</v>
      </c>
      <c r="E200" s="597">
        <f>('Pivot Table for Data Exchange'!$H$157)*100</f>
        <v>0</v>
      </c>
      <c r="F200" s="597">
        <f>('Pivot Table for Data Exchange'!$H$160)*100</f>
        <v>0</v>
      </c>
      <c r="G200" s="599">
        <f>('Pivot Table for Data Exchange'!$H$163)*100</f>
        <v>0</v>
      </c>
      <c r="H200" s="597">
        <f>('Pivot Table for Data Exchange'!$H$166)*100</f>
        <v>0</v>
      </c>
      <c r="I200" s="125" t="s">
        <v>179</v>
      </c>
      <c r="J200" s="597">
        <f>('Pivot Table for Data Exchange'!$H$169)*100</f>
        <v>0</v>
      </c>
      <c r="K200" s="597">
        <f>('Pivot Table for Data Exchange'!$H$172)*100</f>
        <v>0</v>
      </c>
      <c r="L200" s="603">
        <f t="shared" ref="L200:L201" si="33">SUM(M200:O200)</f>
        <v>0</v>
      </c>
      <c r="M200" s="597">
        <f>('Pivot Table for Data Exchange'!$H$175)*100</f>
        <v>0</v>
      </c>
      <c r="N200" s="597">
        <f>('Pivot Table for Data Exchange'!$H$178)*100</f>
        <v>0</v>
      </c>
      <c r="O200" s="599">
        <f>('Pivot Table for Data Exchange'!$H$181)*100</f>
        <v>0</v>
      </c>
      <c r="P200" s="597">
        <f>('Pivot Table for Data Exchange'!$H$184)*100</f>
        <v>0</v>
      </c>
      <c r="Q200" s="602">
        <f t="shared" si="24"/>
        <v>0</v>
      </c>
      <c r="R200" s="602">
        <f t="shared" si="25"/>
        <v>0</v>
      </c>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6"/>
      <c r="AN200" s="136"/>
      <c r="AO200" s="136"/>
    </row>
    <row r="201" spans="1:41" ht="15.75" customHeight="1">
      <c r="A201" s="102" t="s">
        <v>180</v>
      </c>
      <c r="B201" s="597">
        <f>('Pivot Table for Data Exchange'!$H$187)*100</f>
        <v>0</v>
      </c>
      <c r="C201" s="597">
        <f>('Pivot Table for Data Exchange'!$H$190)*100</f>
        <v>0</v>
      </c>
      <c r="D201" s="603">
        <f t="shared" si="32"/>
        <v>0</v>
      </c>
      <c r="E201" s="597">
        <f>('Pivot Table for Data Exchange'!$H$193)*100</f>
        <v>0</v>
      </c>
      <c r="F201" s="597">
        <f>('Pivot Table for Data Exchange'!$H$196)*100</f>
        <v>0</v>
      </c>
      <c r="G201" s="599">
        <f>('Pivot Table for Data Exchange'!$H$199)*100</f>
        <v>0</v>
      </c>
      <c r="H201" s="597">
        <f>('Pivot Table for Data Exchange'!$H$202)*100</f>
        <v>0</v>
      </c>
      <c r="I201" s="125" t="s">
        <v>180</v>
      </c>
      <c r="J201" s="597">
        <f>('Pivot Table for Data Exchange'!$H$205)*100</f>
        <v>0</v>
      </c>
      <c r="K201" s="597">
        <f>('Pivot Table for Data Exchange'!$H$208)*100</f>
        <v>0</v>
      </c>
      <c r="L201" s="603">
        <f t="shared" si="33"/>
        <v>0</v>
      </c>
      <c r="M201" s="597">
        <f>('Pivot Table for Data Exchange'!$H$211)*100</f>
        <v>0</v>
      </c>
      <c r="N201" s="597">
        <f>('Pivot Table for Data Exchange'!$H$214)*100</f>
        <v>0</v>
      </c>
      <c r="O201" s="599">
        <f>('Pivot Table for Data Exchange'!$H$217)*100</f>
        <v>0</v>
      </c>
      <c r="P201" s="597">
        <f>('Pivot Table for Data Exchange'!$H$220)*100</f>
        <v>0</v>
      </c>
      <c r="Q201" s="602">
        <f t="shared" si="24"/>
        <v>0</v>
      </c>
      <c r="R201" s="602">
        <f t="shared" si="25"/>
        <v>0</v>
      </c>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c r="AO201" s="136"/>
    </row>
    <row r="202" spans="1:41" ht="15.75" customHeight="1">
      <c r="A202" s="598" t="s">
        <v>181</v>
      </c>
      <c r="B202" s="597">
        <f>('Pivot Table for Data Exchange'!$H$223)*100</f>
        <v>0</v>
      </c>
      <c r="C202" s="597">
        <f>('Pivot Table for Data Exchange'!$H$226)*100</f>
        <v>0</v>
      </c>
      <c r="D202" s="603">
        <f>SUM(E202:G202)</f>
        <v>0</v>
      </c>
      <c r="E202" s="597">
        <f>('Pivot Table for Data Exchange'!$H$229)*100</f>
        <v>0</v>
      </c>
      <c r="F202" s="597">
        <f>('Pivot Table for Data Exchange'!$H$232)*100</f>
        <v>0</v>
      </c>
      <c r="G202" s="599">
        <f>('Pivot Table for Data Exchange'!$H$235)*100</f>
        <v>0</v>
      </c>
      <c r="H202" s="597">
        <f>('Pivot Table for Data Exchange'!$H$238)*100</f>
        <v>0</v>
      </c>
      <c r="I202" s="125" t="s">
        <v>181</v>
      </c>
      <c r="J202" s="597">
        <f>('Pivot Table for Data Exchange'!$H$241)*100</f>
        <v>0</v>
      </c>
      <c r="K202" s="597">
        <f>('Pivot Table for Data Exchange'!$H$244)*100</f>
        <v>0</v>
      </c>
      <c r="L202" s="603">
        <f>SUM(M202:O202)</f>
        <v>0</v>
      </c>
      <c r="M202" s="597">
        <f>('Pivot Table for Data Exchange'!$H$247)*100</f>
        <v>0</v>
      </c>
      <c r="N202" s="597">
        <f>('Pivot Table for Data Exchange'!$H$250)*100</f>
        <v>0</v>
      </c>
      <c r="O202" s="599">
        <f>('Pivot Table for Data Exchange'!$H$253)*100</f>
        <v>0</v>
      </c>
      <c r="P202" s="597">
        <f>('Pivot Table for Data Exchange'!$H$256)*100</f>
        <v>0</v>
      </c>
      <c r="Q202" s="602">
        <f t="shared" si="24"/>
        <v>0</v>
      </c>
      <c r="R202" s="602">
        <f t="shared" si="25"/>
        <v>0</v>
      </c>
      <c r="S202" s="136"/>
      <c r="T202" s="142"/>
      <c r="U202" s="136"/>
      <c r="V202" s="136"/>
      <c r="W202" s="136"/>
      <c r="X202" s="136"/>
      <c r="Y202" s="136"/>
      <c r="Z202" s="136"/>
      <c r="AA202" s="136"/>
      <c r="AB202" s="136"/>
      <c r="AC202" s="136"/>
      <c r="AD202" s="136"/>
      <c r="AE202" s="136"/>
      <c r="AF202" s="136"/>
      <c r="AG202" s="136"/>
      <c r="AH202" s="136"/>
      <c r="AI202" s="136"/>
      <c r="AJ202" s="136"/>
      <c r="AK202" s="136"/>
      <c r="AL202" s="136"/>
      <c r="AM202" s="136"/>
      <c r="AN202" s="136"/>
      <c r="AO202" s="136"/>
    </row>
    <row r="203" spans="1:41" ht="15.75" customHeight="1">
      <c r="A203" s="102" t="s">
        <v>222</v>
      </c>
      <c r="B203" s="597">
        <f>('Pivot Table for Data Exchange'!$H$259)*100</f>
        <v>100</v>
      </c>
      <c r="C203" s="597">
        <f>('Pivot Table for Data Exchange'!$H$262)*100</f>
        <v>0</v>
      </c>
      <c r="D203" s="603">
        <f>SUM(E203:G203)</f>
        <v>0</v>
      </c>
      <c r="E203" s="597">
        <f>('Pivot Table for Data Exchange'!$H$265)*100</f>
        <v>0</v>
      </c>
      <c r="F203" s="597">
        <f>('Pivot Table for Data Exchange'!$H$268)*100</f>
        <v>0</v>
      </c>
      <c r="G203" s="599">
        <f>('Pivot Table for Data Exchange'!$H$271)*100</f>
        <v>0</v>
      </c>
      <c r="H203" s="597">
        <f>('Pivot Table for Data Exchange'!$H$274)*100</f>
        <v>0</v>
      </c>
      <c r="I203" s="125" t="s">
        <v>218</v>
      </c>
      <c r="J203" s="597">
        <f>('Pivot Table for Data Exchange'!$H$277)*100</f>
        <v>100</v>
      </c>
      <c r="K203" s="597">
        <f>('Pivot Table for Data Exchange'!$H$280)*100</f>
        <v>0</v>
      </c>
      <c r="L203" s="603">
        <f>SUM(M203:O203)</f>
        <v>0</v>
      </c>
      <c r="M203" s="597">
        <f>('Pivot Table for Data Exchange'!$H$283)*100</f>
        <v>0</v>
      </c>
      <c r="N203" s="597">
        <f>('Pivot Table for Data Exchange'!$H$286)*100</f>
        <v>0</v>
      </c>
      <c r="O203" s="599">
        <f>('Pivot Table for Data Exchange'!$H$289)*100</f>
        <v>0</v>
      </c>
      <c r="P203" s="597">
        <f>('Pivot Table for Data Exchange'!$H$292)*100</f>
        <v>0</v>
      </c>
      <c r="Q203" s="602">
        <f t="shared" si="24"/>
        <v>100</v>
      </c>
      <c r="R203" s="602">
        <f t="shared" si="25"/>
        <v>100</v>
      </c>
      <c r="S203" s="136"/>
      <c r="U203" s="136"/>
      <c r="V203" s="136"/>
      <c r="W203" s="136"/>
      <c r="X203" s="136"/>
      <c r="Y203" s="136"/>
      <c r="Z203" s="136"/>
      <c r="AA203" s="136"/>
      <c r="AB203" s="136"/>
      <c r="AC203" s="136"/>
      <c r="AD203" s="136"/>
      <c r="AE203" s="136"/>
      <c r="AF203" s="136"/>
      <c r="AG203" s="136"/>
      <c r="AH203" s="136"/>
      <c r="AI203" s="136"/>
      <c r="AJ203" s="136"/>
      <c r="AK203" s="136"/>
      <c r="AL203" s="136"/>
      <c r="AM203" s="136"/>
      <c r="AN203" s="136"/>
      <c r="AO203" s="136"/>
    </row>
    <row r="204" spans="1:41" ht="11.25" customHeight="1">
      <c r="A204" s="102"/>
      <c r="B204" s="597"/>
      <c r="C204" s="597"/>
      <c r="D204" s="603"/>
      <c r="E204" s="597"/>
      <c r="F204" s="597"/>
      <c r="G204" s="599"/>
      <c r="H204" s="597"/>
      <c r="I204" s="125"/>
      <c r="J204" s="597"/>
      <c r="K204" s="597"/>
      <c r="L204" s="603"/>
      <c r="M204" s="597"/>
      <c r="N204" s="597"/>
      <c r="O204" s="599"/>
      <c r="P204" s="597"/>
      <c r="Q204" s="602">
        <f t="shared" si="24"/>
        <v>0</v>
      </c>
      <c r="R204" s="602">
        <f t="shared" si="25"/>
        <v>0</v>
      </c>
      <c r="S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c r="AO204" s="136"/>
    </row>
    <row r="205" spans="1:41" ht="15.75" customHeight="1">
      <c r="A205" s="102" t="s">
        <v>183</v>
      </c>
      <c r="B205" s="597">
        <f>('Pivot Table for Data Exchange'!$H$295)*100</f>
        <v>0</v>
      </c>
      <c r="C205" s="597">
        <f>('Pivot Table for Data Exchange'!$H$298)*100</f>
        <v>0</v>
      </c>
      <c r="D205" s="603">
        <f>SUM(E205:G205)</f>
        <v>0</v>
      </c>
      <c r="E205" s="597">
        <f>('Pivot Table for Data Exchange'!$H$301)*100</f>
        <v>0</v>
      </c>
      <c r="F205" s="597">
        <f>('Pivot Table for Data Exchange'!$H$304)*100</f>
        <v>0</v>
      </c>
      <c r="G205" s="599">
        <f>('Pivot Table for Data Exchange'!$H$307)*100</f>
        <v>0</v>
      </c>
      <c r="H205" s="597">
        <f>('Pivot Table for Data Exchange'!$H$310)*100</f>
        <v>0</v>
      </c>
      <c r="I205" s="125" t="s">
        <v>183</v>
      </c>
      <c r="J205" s="597">
        <f>('Pivot Table for Data Exchange'!$H$313)*100</f>
        <v>0</v>
      </c>
      <c r="K205" s="597">
        <f>('Pivot Table for Data Exchange'!$H$316)*100</f>
        <v>0</v>
      </c>
      <c r="L205" s="603">
        <f>SUM(M205:O205)</f>
        <v>0</v>
      </c>
      <c r="M205" s="597">
        <f>('Pivot Table for Data Exchange'!$H$319)*100</f>
        <v>0</v>
      </c>
      <c r="N205" s="597">
        <f>('Pivot Table for Data Exchange'!$H$322)*100</f>
        <v>0</v>
      </c>
      <c r="O205" s="599">
        <f>('Pivot Table for Data Exchange'!$H$325)*100</f>
        <v>0</v>
      </c>
      <c r="P205" s="597">
        <f>('Pivot Table for Data Exchange'!$H$328)*100</f>
        <v>0</v>
      </c>
      <c r="Q205" s="602">
        <f t="shared" si="24"/>
        <v>0</v>
      </c>
      <c r="R205" s="602">
        <f t="shared" si="25"/>
        <v>0</v>
      </c>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row>
    <row r="206" spans="1:41" ht="15.75" customHeight="1">
      <c r="A206" s="102" t="s">
        <v>184</v>
      </c>
      <c r="B206" s="597">
        <f>('Pivot Table for Data Exchange'!$H$331)*100</f>
        <v>89.489529195187188</v>
      </c>
      <c r="C206" s="597">
        <f>('Pivot Table for Data Exchange'!$H$334)*100</f>
        <v>1.5998616775663388</v>
      </c>
      <c r="D206" s="603">
        <f>SUM(E206:G206)</f>
        <v>8.9106091272464685</v>
      </c>
      <c r="E206" s="597">
        <f>('Pivot Table for Data Exchange'!$H$337)*100</f>
        <v>8.6715960984937102</v>
      </c>
      <c r="F206" s="597">
        <f>('Pivot Table for Data Exchange'!$H$340)*100</f>
        <v>0.23901302875275884</v>
      </c>
      <c r="G206" s="599">
        <f>('Pivot Table for Data Exchange'!$H$343)*100</f>
        <v>0</v>
      </c>
      <c r="H206" s="597">
        <f>('Pivot Table for Data Exchange'!$H$346)*100</f>
        <v>0</v>
      </c>
      <c r="I206" s="125" t="s">
        <v>184</v>
      </c>
      <c r="J206" s="597">
        <f>('Pivot Table for Data Exchange'!$H$349)*100</f>
        <v>62.451737451737458</v>
      </c>
      <c r="K206" s="597">
        <f>('Pivot Table for Data Exchange'!$H$352)*100</f>
        <v>4.6332046332046328</v>
      </c>
      <c r="L206" s="603">
        <f>SUM(M206:O206)</f>
        <v>32.915057915057915</v>
      </c>
      <c r="M206" s="597">
        <f>('Pivot Table for Data Exchange'!$H$355)*100</f>
        <v>32.915057915057915</v>
      </c>
      <c r="N206" s="597">
        <f>('Pivot Table for Data Exchange'!$H$358)*100</f>
        <v>0</v>
      </c>
      <c r="O206" s="599">
        <f>('Pivot Table for Data Exchange'!$H$361)*100</f>
        <v>0</v>
      </c>
      <c r="P206" s="597">
        <f>('Pivot Table for Data Exchange'!$H$364)*100</f>
        <v>0</v>
      </c>
      <c r="Q206" s="602">
        <f t="shared" si="24"/>
        <v>100</v>
      </c>
      <c r="R206" s="602">
        <f t="shared" si="25"/>
        <v>100</v>
      </c>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row>
    <row r="207" spans="1:41" ht="15.75" customHeight="1">
      <c r="A207" s="102" t="s">
        <v>185</v>
      </c>
      <c r="B207" s="597">
        <f>('Pivot Table for Data Exchange'!$H$367)*100</f>
        <v>78.631471802554984</v>
      </c>
      <c r="C207" s="597">
        <f>('Pivot Table for Data Exchange'!$H$370)*100</f>
        <v>1.7561215503734118</v>
      </c>
      <c r="D207" s="603">
        <f>SUM(E207:G207)</f>
        <v>19.612406647071609</v>
      </c>
      <c r="E207" s="597">
        <f>('Pivot Table for Data Exchange'!$H$373)*100</f>
        <v>18.052426318377805</v>
      </c>
      <c r="F207" s="597">
        <f>('Pivot Table for Data Exchange'!$H$376)*100</f>
        <v>1.5599803286938023</v>
      </c>
      <c r="G207" s="599">
        <f>('Pivot Table for Data Exchange'!$H$379)*100</f>
        <v>0</v>
      </c>
      <c r="H207" s="597">
        <f>('Pivot Table for Data Exchange'!$H$382)*100</f>
        <v>0</v>
      </c>
      <c r="I207" s="125" t="s">
        <v>185</v>
      </c>
      <c r="J207" s="597">
        <f>('Pivot Table for Data Exchange'!$H$385)*100</f>
        <v>0</v>
      </c>
      <c r="K207" s="597">
        <f>('Pivot Table for Data Exchange'!$H$388)*100</f>
        <v>0</v>
      </c>
      <c r="L207" s="603">
        <f>SUM(M207:O207)</f>
        <v>0</v>
      </c>
      <c r="M207" s="597">
        <f>('Pivot Table for Data Exchange'!$H$391)*100</f>
        <v>0</v>
      </c>
      <c r="N207" s="597">
        <f>('Pivot Table for Data Exchange'!$H$394)*100</f>
        <v>0</v>
      </c>
      <c r="O207" s="599">
        <f>('Pivot Table for Data Exchange'!$H$397)*100</f>
        <v>0</v>
      </c>
      <c r="P207" s="597">
        <f>('Pivot Table for Data Exchange'!$H$400)*100</f>
        <v>0</v>
      </c>
      <c r="Q207" s="602">
        <f t="shared" si="24"/>
        <v>100</v>
      </c>
      <c r="R207" s="602">
        <f t="shared" si="25"/>
        <v>0</v>
      </c>
      <c r="S207" s="136"/>
      <c r="T207" s="142"/>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row>
    <row r="208" spans="1:41" ht="15.75" customHeight="1">
      <c r="A208" s="102" t="s">
        <v>186</v>
      </c>
      <c r="B208" s="597">
        <f>('Pivot Table for Data Exchange'!$H$403)*100</f>
        <v>87.677108728693398</v>
      </c>
      <c r="C208" s="597">
        <f>('Pivot Table for Data Exchange'!$H$406)*100</f>
        <v>6.2111737884181863</v>
      </c>
      <c r="D208" s="603">
        <f>SUM(E208:G208)</f>
        <v>6.1117174828884151</v>
      </c>
      <c r="E208" s="597">
        <f>('Pivot Table for Data Exchange'!$H$409)*100</f>
        <v>6.0650495241398303</v>
      </c>
      <c r="F208" s="104">
        <f>('Pivot Table for Data Exchange'!$H$412)*100</f>
        <v>2.3716503626329908E-2</v>
      </c>
      <c r="G208" s="105">
        <f>('Pivot Table for Data Exchange'!$H$415)*100</f>
        <v>2.2951455122254751E-2</v>
      </c>
      <c r="H208" s="597">
        <f>('Pivot Table for Data Exchange'!$H$418)*100</f>
        <v>0</v>
      </c>
      <c r="I208" s="125" t="s">
        <v>186</v>
      </c>
      <c r="J208" s="597">
        <f>('Pivot Table for Data Exchange'!$H$421)*100</f>
        <v>51.422525276275564</v>
      </c>
      <c r="K208" s="597">
        <f>('Pivot Table for Data Exchange'!$H$424)*100</f>
        <v>20.079943569245241</v>
      </c>
      <c r="L208" s="603">
        <f>SUM(M208:O208)</f>
        <v>28.497531154479194</v>
      </c>
      <c r="M208" s="597">
        <f>('Pivot Table for Data Exchange'!$H$427)*100</f>
        <v>28.356454267575831</v>
      </c>
      <c r="N208" s="597">
        <f>('Pivot Table for Data Exchange'!$H$430)*100</f>
        <v>0</v>
      </c>
      <c r="O208" s="599">
        <f>('Pivot Table for Data Exchange'!$H$433)*100</f>
        <v>0.14107688690336231</v>
      </c>
      <c r="P208" s="597">
        <f>('Pivot Table for Data Exchange'!$H$436)*100</f>
        <v>0</v>
      </c>
      <c r="Q208" s="602">
        <f t="shared" si="24"/>
        <v>99.999999999999986</v>
      </c>
      <c r="R208" s="602">
        <f t="shared" si="25"/>
        <v>100</v>
      </c>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row>
    <row r="209" spans="1:41" ht="11.25" customHeight="1">
      <c r="A209" s="102"/>
      <c r="B209" s="597"/>
      <c r="C209" s="597"/>
      <c r="D209" s="603"/>
      <c r="E209" s="597"/>
      <c r="F209" s="597"/>
      <c r="G209" s="599"/>
      <c r="H209" s="597"/>
      <c r="I209" s="125"/>
      <c r="J209" s="597"/>
      <c r="K209" s="597"/>
      <c r="L209" s="603"/>
      <c r="M209" s="597"/>
      <c r="N209" s="597"/>
      <c r="O209" s="599"/>
      <c r="P209" s="597"/>
      <c r="Q209" s="602">
        <f t="shared" si="24"/>
        <v>0</v>
      </c>
      <c r="R209" s="602">
        <f t="shared" si="25"/>
        <v>0</v>
      </c>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row>
    <row r="210" spans="1:41" ht="15.75" customHeight="1">
      <c r="A210" s="102" t="s">
        <v>187</v>
      </c>
      <c r="B210" s="597">
        <f>('Pivot Table for Data Exchange'!$H$439)*100</f>
        <v>0</v>
      </c>
      <c r="C210" s="597">
        <f>('Pivot Table for Data Exchange'!$H$442)*100</f>
        <v>0</v>
      </c>
      <c r="D210" s="603">
        <f>SUM(E210:G210)</f>
        <v>0</v>
      </c>
      <c r="E210" s="597">
        <f>('Pivot Table for Data Exchange'!$H$445)*100</f>
        <v>0</v>
      </c>
      <c r="F210" s="597">
        <f>('Pivot Table for Data Exchange'!$H$448)*100</f>
        <v>0</v>
      </c>
      <c r="G210" s="599">
        <f>('Pivot Table for Data Exchange'!$H$451)*100</f>
        <v>0</v>
      </c>
      <c r="H210" s="597">
        <f>('Pivot Table for Data Exchange'!$H$454)*100</f>
        <v>0</v>
      </c>
      <c r="I210" s="125" t="s">
        <v>187</v>
      </c>
      <c r="J210" s="597">
        <f>('Pivot Table for Data Exchange'!$H$457)*100</f>
        <v>0</v>
      </c>
      <c r="K210" s="597">
        <f>('Pivot Table for Data Exchange'!$H$460)*100</f>
        <v>0</v>
      </c>
      <c r="L210" s="603">
        <f>SUM(M210:O210)</f>
        <v>0</v>
      </c>
      <c r="M210" s="597">
        <f>('Pivot Table for Data Exchange'!$H$463)*100</f>
        <v>0</v>
      </c>
      <c r="N210" s="597">
        <f>('Pivot Table for Data Exchange'!$H$466)*100</f>
        <v>0</v>
      </c>
      <c r="O210" s="599">
        <f>('Pivot Table for Data Exchange'!$H$469)*100</f>
        <v>0</v>
      </c>
      <c r="P210" s="597">
        <f>('Pivot Table for Data Exchange'!$H$472)*100</f>
        <v>0</v>
      </c>
      <c r="Q210" s="602">
        <f t="shared" si="24"/>
        <v>0</v>
      </c>
      <c r="R210" s="602">
        <f t="shared" si="25"/>
        <v>0</v>
      </c>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row>
    <row r="211" spans="1:41" ht="15.75" customHeight="1">
      <c r="A211" s="102" t="s">
        <v>188</v>
      </c>
      <c r="B211" s="597">
        <f>('Pivot Table for Data Exchange'!$H$475)*100</f>
        <v>100</v>
      </c>
      <c r="C211" s="597">
        <f>('Pivot Table for Data Exchange'!$H$478)*100</f>
        <v>0</v>
      </c>
      <c r="D211" s="603">
        <f>SUM(E211:G211)</f>
        <v>0</v>
      </c>
      <c r="E211" s="597">
        <f>('Pivot Table for Data Exchange'!$H$481)*100</f>
        <v>0</v>
      </c>
      <c r="F211" s="597">
        <f>('Pivot Table for Data Exchange'!$H$484)*100</f>
        <v>0</v>
      </c>
      <c r="G211" s="599">
        <f>('Pivot Table for Data Exchange'!$H$487)*100</f>
        <v>0</v>
      </c>
      <c r="H211" s="597">
        <f>('Pivot Table for Data Exchange'!$H$490)*100</f>
        <v>0</v>
      </c>
      <c r="I211" s="125" t="s">
        <v>188</v>
      </c>
      <c r="J211" s="597">
        <f>('Pivot Table for Data Exchange'!$H$493)*100</f>
        <v>91.990090834021458</v>
      </c>
      <c r="K211" s="597">
        <f>('Pivot Table for Data Exchange'!$H$496)*100</f>
        <v>0</v>
      </c>
      <c r="L211" s="603">
        <f>SUM(M211:O211)</f>
        <v>8.0099091659785309</v>
      </c>
      <c r="M211" s="597">
        <f>('Pivot Table for Data Exchange'!$H$499)*100</f>
        <v>8.0099091659785309</v>
      </c>
      <c r="N211" s="597">
        <f>('Pivot Table for Data Exchange'!$H$502)*100</f>
        <v>0</v>
      </c>
      <c r="O211" s="599">
        <f>('Pivot Table for Data Exchange'!$H$505)*100</f>
        <v>0</v>
      </c>
      <c r="P211" s="597">
        <f>('Pivot Table for Data Exchange'!$H$508)*100</f>
        <v>0</v>
      </c>
      <c r="Q211" s="602">
        <f t="shared" si="24"/>
        <v>100</v>
      </c>
      <c r="R211" s="602">
        <f t="shared" si="25"/>
        <v>99.999999999999986</v>
      </c>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c r="AO211" s="136"/>
    </row>
    <row r="212" spans="1:41" ht="15.75" customHeight="1">
      <c r="A212" s="102" t="s">
        <v>189</v>
      </c>
      <c r="B212" s="597">
        <f>('Pivot Table for Data Exchange'!$H$511)*100</f>
        <v>94.90195310971076</v>
      </c>
      <c r="C212" s="597">
        <f>('Pivot Table for Data Exchange'!$H$514)*100</f>
        <v>1.7632784061998512</v>
      </c>
      <c r="D212" s="603">
        <f>SUM(E212:G212)</f>
        <v>3.334768484089397</v>
      </c>
      <c r="E212" s="597">
        <f>('Pivot Table for Data Exchange'!$H$517)*100</f>
        <v>3.334768484089397</v>
      </c>
      <c r="F212" s="597">
        <f>('Pivot Table for Data Exchange'!$H$520)*100</f>
        <v>0</v>
      </c>
      <c r="G212" s="599">
        <f>('Pivot Table for Data Exchange'!$H$523)*100</f>
        <v>0</v>
      </c>
      <c r="H212" s="597">
        <f>('Pivot Table for Data Exchange'!$H$526)*100</f>
        <v>0</v>
      </c>
      <c r="I212" s="125" t="s">
        <v>189</v>
      </c>
      <c r="J212" s="597">
        <f>('Pivot Table for Data Exchange'!$H$529)*100</f>
        <v>0</v>
      </c>
      <c r="K212" s="597">
        <f>('Pivot Table for Data Exchange'!$H$532)*100</f>
        <v>0</v>
      </c>
      <c r="L212" s="603">
        <f>SUM(M212:O212)</f>
        <v>0</v>
      </c>
      <c r="M212" s="597">
        <f>('Pivot Table for Data Exchange'!$H$535)*100</f>
        <v>0</v>
      </c>
      <c r="N212" s="597">
        <f>('Pivot Table for Data Exchange'!$H$538)*100</f>
        <v>0</v>
      </c>
      <c r="O212" s="599">
        <f>('Pivot Table for Data Exchange'!$H$541)*100</f>
        <v>0</v>
      </c>
      <c r="P212" s="597">
        <f>('Pivot Table for Data Exchange'!$H$544)*100</f>
        <v>0</v>
      </c>
      <c r="Q212" s="602">
        <f t="shared" si="24"/>
        <v>100</v>
      </c>
      <c r="R212" s="602">
        <f t="shared" si="25"/>
        <v>0</v>
      </c>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row>
    <row r="213" spans="1:41" ht="15.75" customHeight="1">
      <c r="A213" s="596" t="s">
        <v>190</v>
      </c>
      <c r="B213" s="600">
        <f>('Pivot Table for Data Exchange'!$H$547)*100</f>
        <v>78.865474965944799</v>
      </c>
      <c r="C213" s="600">
        <f>('Pivot Table for Data Exchange'!$H$550)*100</f>
        <v>7.6025131355814404</v>
      </c>
      <c r="D213" s="604">
        <f>SUM(E213:G213)</f>
        <v>13.532011898473769</v>
      </c>
      <c r="E213" s="600">
        <f>('Pivot Table for Data Exchange'!$H$553)*100</f>
        <v>12.332990464540879</v>
      </c>
      <c r="F213" s="600">
        <f>('Pivot Table for Data Exchange'!$H$556)*100</f>
        <v>1.1887353701592951</v>
      </c>
      <c r="G213" s="632">
        <f>('Pivot Table for Data Exchange'!$H$559)*100</f>
        <v>1.0286063773595396E-2</v>
      </c>
      <c r="H213" s="600">
        <f>('Pivot Table for Data Exchange'!$H$562)*100</f>
        <v>0</v>
      </c>
      <c r="I213" s="619" t="s">
        <v>190</v>
      </c>
      <c r="J213" s="600">
        <f>('Pivot Table for Data Exchange'!$H$565)*100</f>
        <v>16.727212681638047</v>
      </c>
      <c r="K213" s="600">
        <f>('Pivot Table for Data Exchange'!$H$568)*100</f>
        <v>28.038309114927344</v>
      </c>
      <c r="L213" s="604">
        <f>SUM(M213:O213)</f>
        <v>55.234478203434612</v>
      </c>
      <c r="M213" s="600">
        <f>('Pivot Table for Data Exchange'!$H$571)*100</f>
        <v>55.234478203434612</v>
      </c>
      <c r="N213" s="600">
        <f>('Pivot Table for Data Exchange'!$H$574)*100</f>
        <v>0</v>
      </c>
      <c r="O213" s="601">
        <f>('Pivot Table for Data Exchange'!$H$577)*100</f>
        <v>0</v>
      </c>
      <c r="P213" s="600">
        <f>('Pivot Table for Data Exchange'!$H$580)*100</f>
        <v>0</v>
      </c>
      <c r="Q213" s="602">
        <f t="shared" si="24"/>
        <v>100.00000000000001</v>
      </c>
      <c r="R213" s="602">
        <f t="shared" si="25"/>
        <v>100</v>
      </c>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row>
    <row r="214" spans="1:41" s="141" customFormat="1" ht="18" customHeight="1">
      <c r="A214" s="43" t="s">
        <v>219</v>
      </c>
      <c r="B214" s="106"/>
      <c r="C214" s="106"/>
      <c r="D214" s="107"/>
      <c r="E214" s="106"/>
      <c r="F214" s="107"/>
      <c r="G214" s="107"/>
      <c r="H214" s="106"/>
      <c r="I214" s="43" t="s">
        <v>219</v>
      </c>
      <c r="J214" s="106"/>
      <c r="K214" s="106"/>
      <c r="L214" s="107"/>
      <c r="M214" s="106"/>
      <c r="N214" s="107"/>
      <c r="O214" s="107"/>
      <c r="P214" s="106"/>
      <c r="Q214" s="602">
        <f t="shared" si="24"/>
        <v>0</v>
      </c>
      <c r="R214" s="602">
        <f t="shared" si="25"/>
        <v>0</v>
      </c>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row>
    <row r="215" spans="1:41" s="141" customFormat="1" ht="26.25" customHeight="1">
      <c r="A215" s="658" t="s">
        <v>220</v>
      </c>
      <c r="B215" s="659"/>
      <c r="C215" s="659"/>
      <c r="D215" s="659"/>
      <c r="E215" s="659"/>
      <c r="F215" s="659"/>
      <c r="G215" s="659"/>
      <c r="H215" s="659"/>
      <c r="I215" s="658" t="s">
        <v>220</v>
      </c>
      <c r="J215" s="659"/>
      <c r="K215" s="659"/>
      <c r="L215" s="659"/>
      <c r="M215" s="659"/>
      <c r="N215" s="659"/>
      <c r="O215" s="659"/>
      <c r="P215" s="659"/>
      <c r="Q215" s="602">
        <f t="shared" si="24"/>
        <v>0</v>
      </c>
      <c r="R215" s="602">
        <f t="shared" si="25"/>
        <v>0</v>
      </c>
    </row>
    <row r="216" spans="1:41" s="141" customFormat="1" ht="10.5" customHeight="1">
      <c r="A216" s="116"/>
      <c r="B216" s="150"/>
      <c r="C216" s="150"/>
      <c r="D216" s="150"/>
      <c r="E216" s="150"/>
      <c r="F216" s="150"/>
      <c r="G216" s="151"/>
      <c r="H216" s="151"/>
      <c r="I216" s="116"/>
      <c r="J216" s="150"/>
      <c r="K216" s="150"/>
      <c r="L216" s="150"/>
      <c r="M216" s="150"/>
      <c r="N216" s="150"/>
      <c r="O216" s="150"/>
      <c r="P216" s="151"/>
      <c r="Q216" s="602">
        <f t="shared" si="24"/>
        <v>0</v>
      </c>
      <c r="R216" s="602">
        <f t="shared" si="25"/>
        <v>0</v>
      </c>
    </row>
    <row r="217" spans="1:41" s="141" customFormat="1">
      <c r="A217" s="45"/>
      <c r="B217" s="45"/>
      <c r="C217" s="45"/>
      <c r="D217" s="45"/>
      <c r="E217" s="45"/>
      <c r="F217" s="45"/>
      <c r="G217" s="45"/>
      <c r="H217" s="49" t="s">
        <v>900</v>
      </c>
      <c r="I217" s="45"/>
      <c r="J217" s="45"/>
      <c r="K217" s="45"/>
      <c r="L217" s="45"/>
      <c r="M217" s="45"/>
      <c r="N217" s="45"/>
      <c r="O217" s="45"/>
      <c r="P217" s="49" t="s">
        <v>900</v>
      </c>
      <c r="Q217" s="602">
        <f t="shared" si="24"/>
        <v>0</v>
      </c>
      <c r="R217" s="602">
        <f t="shared" si="25"/>
        <v>0</v>
      </c>
    </row>
    <row r="218" spans="1:41" ht="18">
      <c r="A218" s="16" t="s">
        <v>272</v>
      </c>
      <c r="B218" s="71"/>
      <c r="C218" s="71"/>
      <c r="D218" s="71"/>
      <c r="E218" s="71"/>
      <c r="F218" s="71"/>
      <c r="G218" s="71"/>
      <c r="H218" s="72"/>
      <c r="I218" s="102"/>
      <c r="J218" s="102"/>
      <c r="K218" s="102"/>
      <c r="L218" s="102"/>
      <c r="M218" s="102"/>
      <c r="N218" s="102"/>
      <c r="O218" s="102"/>
      <c r="P218" s="102"/>
      <c r="Q218" s="602">
        <f>SUM(B218,C218,D218,H218)</f>
        <v>0</v>
      </c>
    </row>
    <row r="219" spans="1:41">
      <c r="A219" s="22"/>
      <c r="B219" s="23"/>
      <c r="C219" s="23"/>
      <c r="D219" s="23"/>
      <c r="E219" s="23"/>
      <c r="F219" s="23"/>
      <c r="G219" s="23"/>
      <c r="H219" s="73"/>
      <c r="I219" s="102"/>
      <c r="J219" s="102"/>
      <c r="K219" s="102"/>
      <c r="L219" s="102"/>
      <c r="M219" s="102"/>
      <c r="N219" s="102"/>
      <c r="O219" s="102"/>
      <c r="P219" s="102"/>
      <c r="Q219" s="602">
        <f t="shared" ref="Q219:Q282" si="34">SUM(B219,C219,D219,H219)</f>
        <v>0</v>
      </c>
    </row>
    <row r="220" spans="1:41" ht="15.75">
      <c r="A220" s="74" t="s">
        <v>205</v>
      </c>
      <c r="B220" s="23"/>
      <c r="C220" s="23"/>
      <c r="D220" s="23"/>
      <c r="E220" s="23"/>
      <c r="F220" s="23"/>
      <c r="G220" s="23"/>
      <c r="H220" s="73"/>
      <c r="I220" s="118"/>
      <c r="J220" s="102"/>
      <c r="K220" s="102"/>
      <c r="L220" s="73"/>
      <c r="M220" s="102"/>
      <c r="N220" s="102"/>
      <c r="O220" s="102"/>
      <c r="P220" s="102"/>
      <c r="Q220" s="602">
        <f t="shared" si="34"/>
        <v>0</v>
      </c>
    </row>
    <row r="221" spans="1:41" ht="15.75">
      <c r="A221" s="74" t="s">
        <v>888</v>
      </c>
      <c r="B221" s="23"/>
      <c r="C221" s="23"/>
      <c r="D221" s="23"/>
      <c r="E221" s="23"/>
      <c r="F221" s="23"/>
      <c r="G221" s="23"/>
      <c r="H221" s="73"/>
      <c r="I221" s="118"/>
      <c r="J221" s="102"/>
      <c r="K221" s="102"/>
      <c r="L221" s="102"/>
      <c r="M221" s="102"/>
      <c r="N221" s="102"/>
      <c r="O221" s="102"/>
      <c r="P221" s="102"/>
      <c r="Q221" s="602">
        <f t="shared" si="34"/>
        <v>0</v>
      </c>
    </row>
    <row r="222" spans="1:41">
      <c r="A222" s="76"/>
      <c r="B222" s="77"/>
      <c r="C222" s="77"/>
      <c r="D222" s="77"/>
      <c r="E222" s="77"/>
      <c r="F222" s="77"/>
      <c r="G222" s="77"/>
      <c r="H222" s="77"/>
      <c r="I222" s="118"/>
      <c r="J222" s="102"/>
      <c r="K222" s="102"/>
      <c r="L222" s="102"/>
      <c r="M222" s="102"/>
      <c r="N222" s="102"/>
      <c r="O222" s="102"/>
      <c r="P222" s="102"/>
      <c r="Q222" s="602">
        <f t="shared" si="34"/>
        <v>0</v>
      </c>
    </row>
    <row r="223" spans="1:41">
      <c r="A223" s="80"/>
      <c r="B223" s="81" t="s">
        <v>207</v>
      </c>
      <c r="C223" s="81"/>
      <c r="D223" s="81"/>
      <c r="E223" s="81"/>
      <c r="F223" s="81"/>
      <c r="G223" s="81"/>
      <c r="H223" s="82"/>
      <c r="I223" s="118"/>
      <c r="J223" s="102"/>
      <c r="K223" s="102"/>
      <c r="L223" s="102"/>
      <c r="M223" s="102"/>
      <c r="N223" s="102"/>
      <c r="O223" s="102"/>
      <c r="P223" s="102"/>
      <c r="Q223" s="602">
        <f t="shared" si="34"/>
        <v>0</v>
      </c>
    </row>
    <row r="224" spans="1:41">
      <c r="A224" s="80"/>
      <c r="B224" s="81" t="s">
        <v>208</v>
      </c>
      <c r="C224" s="81"/>
      <c r="D224" s="653" t="s">
        <v>209</v>
      </c>
      <c r="E224" s="654"/>
      <c r="F224" s="654"/>
      <c r="G224" s="654"/>
      <c r="H224" s="86" t="s">
        <v>39</v>
      </c>
      <c r="I224" s="118"/>
      <c r="J224" s="102"/>
      <c r="K224" s="102"/>
      <c r="L224" s="102"/>
      <c r="M224" s="102"/>
      <c r="N224" s="102"/>
      <c r="O224" s="102"/>
      <c r="P224" s="102"/>
      <c r="Q224" s="602">
        <f t="shared" si="34"/>
        <v>0</v>
      </c>
    </row>
    <row r="225" spans="1:41" ht="36">
      <c r="A225" s="80"/>
      <c r="B225" s="87" t="s">
        <v>210</v>
      </c>
      <c r="C225" s="88" t="s">
        <v>211</v>
      </c>
      <c r="D225" s="89" t="s">
        <v>212</v>
      </c>
      <c r="E225" s="90" t="s">
        <v>7</v>
      </c>
      <c r="F225" s="87" t="s">
        <v>213</v>
      </c>
      <c r="G225" s="91" t="s">
        <v>214</v>
      </c>
      <c r="H225" s="92" t="s">
        <v>215</v>
      </c>
      <c r="I225" s="111"/>
      <c r="J225" s="85"/>
      <c r="K225" s="85"/>
      <c r="L225" s="85"/>
      <c r="M225" s="85"/>
      <c r="N225" s="85"/>
      <c r="O225" s="85"/>
      <c r="P225" s="102"/>
      <c r="Q225" s="602">
        <f t="shared" si="34"/>
        <v>0</v>
      </c>
    </row>
    <row r="226" spans="1:41" ht="15.75" customHeight="1">
      <c r="A226" s="99" t="s">
        <v>175</v>
      </c>
      <c r="B226" s="120">
        <f>('Pivot Table for Data Exchange'!$O$7)*100</f>
        <v>64.169665761456855</v>
      </c>
      <c r="C226" s="597">
        <f>('Pivot Table for Data Exchange'!$O$10)*100</f>
        <v>17.995866372596527</v>
      </c>
      <c r="D226" s="603">
        <f>SUM(E226:G226)</f>
        <v>17.834154644558605</v>
      </c>
      <c r="E226" s="597">
        <f>('Pivot Table for Data Exchange'!$O$13)*100</f>
        <v>16.035279467308861</v>
      </c>
      <c r="F226" s="597">
        <f>('Pivot Table for Data Exchange'!$O$16)*100</f>
        <v>0.31362410122241358</v>
      </c>
      <c r="G226" s="97">
        <f>('Pivot Table for Data Exchange'!$O$19)*100</f>
        <v>1.4852510760273325</v>
      </c>
      <c r="H226" s="633">
        <f>('Pivot Table for Data Exchange'!$O$22)*100</f>
        <v>3.1322138800925881E-4</v>
      </c>
      <c r="I226" s="101"/>
      <c r="J226" s="101"/>
      <c r="K226" s="101"/>
      <c r="L226" s="101"/>
      <c r="M226" s="101"/>
      <c r="N226" s="101"/>
      <c r="O226" s="101"/>
      <c r="P226" s="119"/>
      <c r="Q226" s="602">
        <f t="shared" si="34"/>
        <v>100</v>
      </c>
      <c r="R226" s="135"/>
      <c r="Z226" s="136"/>
      <c r="AA226" s="136"/>
      <c r="AB226" s="136"/>
      <c r="AC226" s="136"/>
      <c r="AD226" s="136"/>
      <c r="AE226" s="136"/>
      <c r="AF226" s="136"/>
      <c r="AG226" s="136"/>
      <c r="AH226" s="136"/>
      <c r="AI226" s="136"/>
      <c r="AJ226" s="136"/>
      <c r="AK226" s="136"/>
      <c r="AL226" s="136"/>
      <c r="AM226" s="136"/>
      <c r="AN226" s="136"/>
      <c r="AO226" s="136"/>
    </row>
    <row r="227" spans="1:41" ht="15.75" customHeight="1">
      <c r="A227" s="102" t="s">
        <v>176</v>
      </c>
      <c r="B227" s="597">
        <f>('Pivot Table for Data Exchange'!$O$43)*100</f>
        <v>69.577522520164763</v>
      </c>
      <c r="C227" s="597">
        <f>('Pivot Table for Data Exchange'!$O$46)*100</f>
        <v>8.7452477089109752</v>
      </c>
      <c r="D227" s="603">
        <f t="shared" ref="D227:D229" si="35">SUM(E227:G227)</f>
        <v>21.673469959475131</v>
      </c>
      <c r="E227" s="597">
        <f>('Pivot Table for Data Exchange'!$O$49)*100</f>
        <v>20.811957085069789</v>
      </c>
      <c r="F227" s="597">
        <f>('Pivot Table for Data Exchange'!$O$52)*100</f>
        <v>0.84411453122892022</v>
      </c>
      <c r="G227" s="105">
        <f>('Pivot Table for Data Exchange'!$O$55)*100</f>
        <v>1.7398343176421412E-2</v>
      </c>
      <c r="H227" s="98">
        <f>('Pivot Table for Data Exchange'!$O$58)*100</f>
        <v>3.7598114491419156E-3</v>
      </c>
      <c r="I227" s="101"/>
      <c r="J227" s="101"/>
      <c r="K227" s="101"/>
      <c r="L227" s="101"/>
      <c r="M227" s="101"/>
      <c r="N227" s="101"/>
      <c r="O227" s="101"/>
      <c r="P227" s="119"/>
      <c r="Q227" s="602">
        <f t="shared" si="34"/>
        <v>100.00000000000001</v>
      </c>
      <c r="R227" s="135"/>
      <c r="Z227" s="136"/>
      <c r="AA227" s="136"/>
      <c r="AB227" s="136"/>
      <c r="AC227" s="136"/>
      <c r="AD227" s="136"/>
      <c r="AE227" s="136"/>
      <c r="AF227" s="136"/>
      <c r="AG227" s="136"/>
      <c r="AH227" s="136"/>
      <c r="AI227" s="136"/>
      <c r="AJ227" s="136"/>
      <c r="AK227" s="136"/>
      <c r="AL227" s="136"/>
      <c r="AM227" s="136"/>
      <c r="AN227" s="136"/>
      <c r="AO227" s="136"/>
    </row>
    <row r="228" spans="1:41" ht="15.75" customHeight="1">
      <c r="A228" s="102" t="s">
        <v>177</v>
      </c>
      <c r="B228" s="597">
        <f>('Pivot Table for Data Exchange'!$O$79)*100</f>
        <v>83.65446333055985</v>
      </c>
      <c r="C228" s="597">
        <f>('Pivot Table for Data Exchange'!$O$82)*100</f>
        <v>0</v>
      </c>
      <c r="D228" s="603">
        <f t="shared" si="35"/>
        <v>16.34553666944015</v>
      </c>
      <c r="E228" s="597">
        <f>('Pivot Table for Data Exchange'!$O$85)*100</f>
        <v>11.184179246404375</v>
      </c>
      <c r="F228" s="597">
        <f>('Pivot Table for Data Exchange'!$O$88)*100</f>
        <v>0.23356709853797694</v>
      </c>
      <c r="G228" s="599">
        <f>('Pivot Table for Data Exchange'!$O$91)*100</f>
        <v>4.927790324497801</v>
      </c>
      <c r="H228" s="597">
        <f>('Pivot Table for Data Exchange'!$O$94)*100</f>
        <v>0</v>
      </c>
      <c r="I228" s="101"/>
      <c r="J228" s="101"/>
      <c r="K228" s="101"/>
      <c r="L228" s="101"/>
      <c r="M228" s="101"/>
      <c r="N228" s="101"/>
      <c r="O228" s="101"/>
      <c r="P228" s="119"/>
      <c r="Q228" s="602">
        <f t="shared" si="34"/>
        <v>100</v>
      </c>
      <c r="R228" s="135"/>
      <c r="Z228" s="136"/>
      <c r="AA228" s="136"/>
      <c r="AB228" s="136"/>
      <c r="AC228" s="136"/>
      <c r="AD228" s="136"/>
      <c r="AE228" s="136"/>
      <c r="AF228" s="136"/>
      <c r="AG228" s="136"/>
      <c r="AH228" s="136"/>
      <c r="AI228" s="136"/>
      <c r="AJ228" s="136"/>
      <c r="AK228" s="136"/>
      <c r="AL228" s="136"/>
      <c r="AM228" s="136"/>
      <c r="AN228" s="136"/>
      <c r="AO228" s="136"/>
    </row>
    <row r="229" spans="1:41" ht="15.75" customHeight="1">
      <c r="A229" s="102" t="s">
        <v>217</v>
      </c>
      <c r="B229" s="597">
        <f>('Pivot Table for Data Exchange'!$O$115)*100</f>
        <v>68.621879609088197</v>
      </c>
      <c r="C229" s="597">
        <f>('Pivot Table for Data Exchange'!$O$118)*100</f>
        <v>2.1905841472432823</v>
      </c>
      <c r="D229" s="603">
        <f t="shared" si="35"/>
        <v>28.909177287797021</v>
      </c>
      <c r="E229" s="597">
        <f>('Pivot Table for Data Exchange'!$O$121)*100</f>
        <v>21.034154886497078</v>
      </c>
      <c r="F229" s="597">
        <f>('Pivot Table for Data Exchange'!$O$124)*100</f>
        <v>9.542408847440205E-2</v>
      </c>
      <c r="G229" s="599">
        <f>('Pivot Table for Data Exchange'!$O$127)*100</f>
        <v>7.7795983128255415</v>
      </c>
      <c r="H229" s="597">
        <f>('Pivot Table for Data Exchange'!$O$130)*100</f>
        <v>0.27835895587150034</v>
      </c>
      <c r="I229" s="101"/>
      <c r="J229" s="101"/>
      <c r="K229" s="101"/>
      <c r="L229" s="101"/>
      <c r="M229" s="101"/>
      <c r="N229" s="101"/>
      <c r="O229" s="101"/>
      <c r="P229" s="119"/>
      <c r="Q229" s="602">
        <f t="shared" si="34"/>
        <v>100</v>
      </c>
      <c r="R229" s="135"/>
      <c r="Z229" s="136"/>
      <c r="AA229" s="136"/>
      <c r="AB229" s="136"/>
      <c r="AC229" s="136"/>
      <c r="AD229" s="136"/>
      <c r="AE229" s="136"/>
      <c r="AF229" s="136"/>
      <c r="AG229" s="136"/>
      <c r="AH229" s="136"/>
      <c r="AI229" s="136"/>
      <c r="AJ229" s="136"/>
      <c r="AK229" s="136"/>
      <c r="AL229" s="136"/>
      <c r="AM229" s="136"/>
      <c r="AN229" s="136"/>
      <c r="AO229" s="136"/>
    </row>
    <row r="230" spans="1:41" ht="15.75" customHeight="1">
      <c r="A230" s="102"/>
      <c r="B230" s="597"/>
      <c r="C230" s="597"/>
      <c r="D230" s="603"/>
      <c r="E230" s="597"/>
      <c r="F230" s="597"/>
      <c r="G230" s="599"/>
      <c r="H230" s="597"/>
      <c r="I230" s="101"/>
      <c r="J230" s="101"/>
      <c r="K230" s="101"/>
      <c r="L230" s="101"/>
      <c r="M230" s="101"/>
      <c r="N230" s="101"/>
      <c r="O230" s="101"/>
      <c r="P230" s="119"/>
      <c r="Q230" s="602">
        <f t="shared" si="34"/>
        <v>0</v>
      </c>
      <c r="R230" s="135"/>
      <c r="Z230" s="136"/>
      <c r="AA230" s="136"/>
      <c r="AB230" s="136"/>
      <c r="AC230" s="136"/>
      <c r="AD230" s="136"/>
      <c r="AE230" s="136"/>
      <c r="AF230" s="136"/>
      <c r="AG230" s="136"/>
      <c r="AH230" s="136"/>
      <c r="AI230" s="136"/>
      <c r="AJ230" s="136"/>
      <c r="AK230" s="136"/>
      <c r="AL230" s="136"/>
      <c r="AM230" s="136"/>
      <c r="AN230" s="136"/>
      <c r="AO230" s="136"/>
    </row>
    <row r="231" spans="1:41" ht="15.75" customHeight="1">
      <c r="A231" s="102" t="s">
        <v>179</v>
      </c>
      <c r="B231" s="597">
        <f>('Pivot Table for Data Exchange'!$O$151)*100</f>
        <v>0</v>
      </c>
      <c r="C231" s="597">
        <f>('Pivot Table for Data Exchange'!$O$154)*100</f>
        <v>0</v>
      </c>
      <c r="D231" s="603">
        <f t="shared" ref="D231:D232" si="36">SUM(E231:G231)</f>
        <v>0</v>
      </c>
      <c r="E231" s="597">
        <f>('Pivot Table for Data Exchange'!$O$157)*100</f>
        <v>0</v>
      </c>
      <c r="F231" s="597">
        <f>('Pivot Table for Data Exchange'!$O$160)*100</f>
        <v>0</v>
      </c>
      <c r="G231" s="599">
        <f>('Pivot Table for Data Exchange'!$O$163)*100</f>
        <v>0</v>
      </c>
      <c r="H231" s="597">
        <f>('Pivot Table for Data Exchange'!$O$166)*100</f>
        <v>0</v>
      </c>
      <c r="I231" s="101"/>
      <c r="J231" s="101"/>
      <c r="K231" s="101"/>
      <c r="L231" s="101"/>
      <c r="M231" s="101"/>
      <c r="N231" s="101"/>
      <c r="O231" s="101"/>
      <c r="P231" s="119"/>
      <c r="Q231" s="602">
        <f t="shared" si="34"/>
        <v>0</v>
      </c>
      <c r="R231" s="135"/>
      <c r="Z231" s="136"/>
      <c r="AA231" s="136"/>
      <c r="AB231" s="136"/>
      <c r="AC231" s="136"/>
      <c r="AD231" s="136"/>
      <c r="AE231" s="136"/>
      <c r="AF231" s="136"/>
      <c r="AG231" s="136"/>
      <c r="AH231" s="136"/>
      <c r="AI231" s="136"/>
      <c r="AJ231" s="136"/>
      <c r="AK231" s="136"/>
      <c r="AL231" s="136"/>
      <c r="AM231" s="136"/>
      <c r="AN231" s="136"/>
      <c r="AO231" s="136"/>
    </row>
    <row r="232" spans="1:41" ht="15.75" customHeight="1">
      <c r="A232" s="102" t="s">
        <v>180</v>
      </c>
      <c r="B232" s="597">
        <f>('Pivot Table for Data Exchange'!$O$187)*100</f>
        <v>63.46508956202301</v>
      </c>
      <c r="C232" s="597">
        <f>('Pivot Table for Data Exchange'!$O$190)*100</f>
        <v>7.1202684929129543</v>
      </c>
      <c r="D232" s="603">
        <f t="shared" si="36"/>
        <v>29.414641945064027</v>
      </c>
      <c r="E232" s="597">
        <f>('Pivot Table for Data Exchange'!$O$193)*100</f>
        <v>28.530284200960786</v>
      </c>
      <c r="F232" s="597">
        <f>('Pivot Table for Data Exchange'!$O$196)*100</f>
        <v>0.88435774410324153</v>
      </c>
      <c r="G232" s="599">
        <f>('Pivot Table for Data Exchange'!$O$199)*100</f>
        <v>0</v>
      </c>
      <c r="H232" s="597">
        <f>('Pivot Table for Data Exchange'!$O$202)*100</f>
        <v>0</v>
      </c>
      <c r="I232" s="101"/>
      <c r="J232" s="101"/>
      <c r="K232" s="101"/>
      <c r="L232" s="101"/>
      <c r="M232" s="101"/>
      <c r="N232" s="101"/>
      <c r="O232" s="101"/>
      <c r="P232" s="119"/>
      <c r="Q232" s="602">
        <f t="shared" si="34"/>
        <v>100</v>
      </c>
      <c r="R232" s="135"/>
      <c r="Z232" s="136"/>
      <c r="AA232" s="136"/>
      <c r="AB232" s="136"/>
      <c r="AC232" s="136"/>
      <c r="AD232" s="136"/>
      <c r="AE232" s="136"/>
      <c r="AF232" s="136"/>
      <c r="AG232" s="136"/>
      <c r="AH232" s="136"/>
      <c r="AI232" s="136"/>
      <c r="AJ232" s="136"/>
      <c r="AK232" s="136"/>
      <c r="AL232" s="136"/>
      <c r="AM232" s="136"/>
      <c r="AN232" s="136"/>
      <c r="AO232" s="136"/>
    </row>
    <row r="233" spans="1:41" ht="15.75" customHeight="1">
      <c r="A233" s="598" t="s">
        <v>181</v>
      </c>
      <c r="B233" s="597">
        <f>('Pivot Table for Data Exchange'!$O$223)*100</f>
        <v>0</v>
      </c>
      <c r="C233" s="597">
        <f>('Pivot Table for Data Exchange'!$O$226)*100</f>
        <v>0</v>
      </c>
      <c r="D233" s="603">
        <f>SUM(E233:G233)</f>
        <v>0</v>
      </c>
      <c r="E233" s="597">
        <f>('Pivot Table for Data Exchange'!$O$229)*100</f>
        <v>0</v>
      </c>
      <c r="F233" s="597">
        <f>('Pivot Table for Data Exchange'!$O$232)*100</f>
        <v>0</v>
      </c>
      <c r="G233" s="599">
        <f>('Pivot Table for Data Exchange'!$O$235)*100</f>
        <v>0</v>
      </c>
      <c r="H233" s="597">
        <f>('Pivot Table for Data Exchange'!$O$238)*100</f>
        <v>0</v>
      </c>
      <c r="Q233" s="602">
        <f t="shared" si="34"/>
        <v>0</v>
      </c>
      <c r="R233" s="135"/>
      <c r="Z233" s="136"/>
      <c r="AA233" s="136"/>
      <c r="AB233" s="136"/>
      <c r="AC233" s="136"/>
      <c r="AD233" s="136"/>
      <c r="AE233" s="136"/>
      <c r="AF233" s="136"/>
      <c r="AG233" s="136"/>
      <c r="AH233" s="136"/>
      <c r="AI233" s="136"/>
      <c r="AJ233" s="136"/>
      <c r="AK233" s="136"/>
      <c r="AL233" s="136"/>
      <c r="AM233" s="136"/>
      <c r="AN233" s="136"/>
      <c r="AO233" s="136"/>
    </row>
    <row r="234" spans="1:41" ht="15.75" customHeight="1">
      <c r="A234" s="102" t="s">
        <v>222</v>
      </c>
      <c r="B234" s="597">
        <f>('Pivot Table for Data Exchange'!$O$259)*100</f>
        <v>77.735734006534017</v>
      </c>
      <c r="C234" s="597">
        <f>('Pivot Table for Data Exchange'!$O$262)*100</f>
        <v>7.4141184794780521</v>
      </c>
      <c r="D234" s="603">
        <f>SUM(E234:G234)</f>
        <v>14.846350132517694</v>
      </c>
      <c r="E234" s="597">
        <f>('Pivot Table for Data Exchange'!$O$265)*100</f>
        <v>14.649155137231235</v>
      </c>
      <c r="F234" s="597">
        <f>('Pivot Table for Data Exchange'!$O$268)*100</f>
        <v>0.16429555759296086</v>
      </c>
      <c r="G234" s="105">
        <f>('Pivot Table for Data Exchange'!$O$271)*100</f>
        <v>3.2899437693497381E-2</v>
      </c>
      <c r="H234" s="98">
        <f>('Pivot Table for Data Exchange'!$O$274)*100</f>
        <v>3.7973814702402489E-3</v>
      </c>
      <c r="I234" s="101"/>
      <c r="J234" s="101"/>
      <c r="K234" s="101"/>
      <c r="L234" s="101"/>
      <c r="M234" s="101"/>
      <c r="N234" s="101"/>
      <c r="O234" s="101"/>
      <c r="P234" s="119"/>
      <c r="Q234" s="602">
        <f t="shared" si="34"/>
        <v>100</v>
      </c>
      <c r="R234" s="135"/>
      <c r="Z234" s="136"/>
      <c r="AA234" s="136"/>
      <c r="AB234" s="136"/>
      <c r="AC234" s="136"/>
      <c r="AD234" s="136"/>
      <c r="AE234" s="136"/>
      <c r="AF234" s="136"/>
      <c r="AG234" s="136"/>
      <c r="AH234" s="136"/>
      <c r="AI234" s="136"/>
      <c r="AJ234" s="136"/>
      <c r="AK234" s="136"/>
      <c r="AL234" s="136"/>
      <c r="AM234" s="136"/>
      <c r="AN234" s="136"/>
      <c r="AO234" s="136"/>
    </row>
    <row r="235" spans="1:41" ht="15.75" customHeight="1">
      <c r="A235" s="102"/>
      <c r="B235" s="597"/>
      <c r="C235" s="597"/>
      <c r="D235" s="603"/>
      <c r="E235" s="597"/>
      <c r="F235" s="597"/>
      <c r="G235" s="599"/>
      <c r="H235" s="597"/>
      <c r="I235" s="101"/>
      <c r="J235" s="101"/>
      <c r="K235" s="101"/>
      <c r="L235" s="101"/>
      <c r="M235" s="101"/>
      <c r="N235" s="101"/>
      <c r="O235" s="101"/>
      <c r="P235" s="119"/>
      <c r="Q235" s="602">
        <f t="shared" si="34"/>
        <v>0</v>
      </c>
      <c r="R235" s="135"/>
      <c r="Z235" s="136"/>
      <c r="AA235" s="136"/>
      <c r="AB235" s="136"/>
      <c r="AC235" s="136"/>
      <c r="AD235" s="136"/>
      <c r="AE235" s="136"/>
      <c r="AF235" s="136"/>
      <c r="AG235" s="136"/>
      <c r="AH235" s="136"/>
      <c r="AI235" s="136"/>
      <c r="AJ235" s="136"/>
      <c r="AK235" s="136"/>
      <c r="AL235" s="136"/>
      <c r="AM235" s="136"/>
      <c r="AN235" s="136"/>
      <c r="AO235" s="136"/>
    </row>
    <row r="236" spans="1:41" ht="15.75" customHeight="1">
      <c r="A236" s="102" t="s">
        <v>224</v>
      </c>
      <c r="B236" s="597">
        <f>('Pivot Table for Data Exchange'!$O$295)*100</f>
        <v>80.526885157172785</v>
      </c>
      <c r="C236" s="597">
        <f>('Pivot Table for Data Exchange'!$O$298)*100</f>
        <v>0</v>
      </c>
      <c r="D236" s="603">
        <f>SUM(E236:G236)</f>
        <v>19.473114842827208</v>
      </c>
      <c r="E236" s="597">
        <f>('Pivot Table for Data Exchange'!$O$301)*100</f>
        <v>19.473114842827208</v>
      </c>
      <c r="F236" s="597">
        <f>('Pivot Table for Data Exchange'!$O$304)*100</f>
        <v>0</v>
      </c>
      <c r="G236" s="599">
        <f>('Pivot Table for Data Exchange'!$O$307)*100</f>
        <v>0</v>
      </c>
      <c r="H236" s="597">
        <f>('Pivot Table for Data Exchange'!$O$310)*100</f>
        <v>0</v>
      </c>
      <c r="I236" s="101"/>
      <c r="J236" s="101"/>
      <c r="K236" s="101"/>
      <c r="L236" s="101"/>
      <c r="M236" s="101"/>
      <c r="N236" s="101"/>
      <c r="O236" s="101"/>
      <c r="P236" s="119"/>
      <c r="Q236" s="602">
        <f t="shared" si="34"/>
        <v>100</v>
      </c>
      <c r="R236" s="135"/>
      <c r="Z236" s="136"/>
      <c r="AA236" s="136"/>
      <c r="AB236" s="136"/>
      <c r="AC236" s="136"/>
      <c r="AD236" s="136"/>
      <c r="AE236" s="136"/>
      <c r="AF236" s="136"/>
      <c r="AG236" s="136"/>
      <c r="AH236" s="136"/>
      <c r="AI236" s="136"/>
      <c r="AJ236" s="136"/>
      <c r="AK236" s="136"/>
      <c r="AL236" s="136"/>
      <c r="AM236" s="136"/>
      <c r="AN236" s="136"/>
      <c r="AO236" s="136"/>
    </row>
    <row r="237" spans="1:41" ht="15.75" customHeight="1">
      <c r="A237" s="102" t="s">
        <v>184</v>
      </c>
      <c r="B237" s="597">
        <f>('Pivot Table for Data Exchange'!$O$331)*100</f>
        <v>64.22872746835084</v>
      </c>
      <c r="C237" s="597">
        <f>('Pivot Table for Data Exchange'!$O$334)*100</f>
        <v>2.8653530407899579</v>
      </c>
      <c r="D237" s="603">
        <f>SUM(E237:G237)</f>
        <v>32.905919490859205</v>
      </c>
      <c r="E237" s="597">
        <f>('Pivot Table for Data Exchange'!$O$337)*100</f>
        <v>32.151866620074962</v>
      </c>
      <c r="F237" s="597">
        <f>('Pivot Table for Data Exchange'!$O$340)*100</f>
        <v>0.52237083045050225</v>
      </c>
      <c r="G237" s="599">
        <f>('Pivot Table for Data Exchange'!$O$343)*100</f>
        <v>0.23168204033373702</v>
      </c>
      <c r="H237" s="597">
        <f>('Pivot Table for Data Exchange'!$O$346)*100</f>
        <v>0</v>
      </c>
      <c r="I237" s="101"/>
      <c r="J237" s="101"/>
      <c r="K237" s="101"/>
      <c r="L237" s="101"/>
      <c r="M237" s="101"/>
      <c r="N237" s="101"/>
      <c r="O237" s="101"/>
      <c r="P237" s="119"/>
      <c r="Q237" s="602">
        <f t="shared" si="34"/>
        <v>100</v>
      </c>
      <c r="R237" s="135"/>
      <c r="Z237" s="136"/>
      <c r="AA237" s="136"/>
      <c r="AB237" s="136"/>
      <c r="AC237" s="136"/>
      <c r="AD237" s="136"/>
      <c r="AE237" s="136"/>
      <c r="AF237" s="136"/>
      <c r="AG237" s="136"/>
      <c r="AH237" s="136"/>
      <c r="AI237" s="136"/>
      <c r="AJ237" s="136"/>
      <c r="AK237" s="136"/>
      <c r="AL237" s="136"/>
      <c r="AM237" s="136"/>
      <c r="AN237" s="136"/>
      <c r="AO237" s="136"/>
    </row>
    <row r="238" spans="1:41" ht="15.75" customHeight="1">
      <c r="A238" s="102" t="s">
        <v>185</v>
      </c>
      <c r="B238" s="597">
        <f>('Pivot Table for Data Exchange'!$O$367)*100</f>
        <v>65.834110406564719</v>
      </c>
      <c r="C238" s="597">
        <f>('Pivot Table for Data Exchange'!$O$370)*100</f>
        <v>6.2166052778813876</v>
      </c>
      <c r="D238" s="603">
        <f>SUM(E238:G238)</f>
        <v>27.920493752331222</v>
      </c>
      <c r="E238" s="597">
        <f>('Pivot Table for Data Exchange'!$O$373)*100</f>
        <v>20.189003636702722</v>
      </c>
      <c r="F238" s="597">
        <f>('Pivot Table for Data Exchange'!$O$376)*100</f>
        <v>2.5223214285714288</v>
      </c>
      <c r="G238" s="599">
        <f>('Pivot Table for Data Exchange'!$O$379)*100</f>
        <v>5.2091686870570681</v>
      </c>
      <c r="H238" s="104">
        <f>('Pivot Table for Data Exchange'!$O$382)*100</f>
        <v>2.8790563222678103E-2</v>
      </c>
      <c r="I238" s="101"/>
      <c r="J238" s="101"/>
      <c r="K238" s="101"/>
      <c r="L238" s="101"/>
      <c r="M238" s="101"/>
      <c r="N238" s="101"/>
      <c r="O238" s="101"/>
      <c r="P238" s="119"/>
      <c r="Q238" s="602">
        <f t="shared" si="34"/>
        <v>100</v>
      </c>
      <c r="R238" s="135"/>
      <c r="Z238" s="136"/>
      <c r="AA238" s="136"/>
      <c r="AB238" s="136"/>
      <c r="AC238" s="136"/>
      <c r="AD238" s="136"/>
      <c r="AE238" s="136"/>
      <c r="AF238" s="136"/>
      <c r="AG238" s="136"/>
      <c r="AH238" s="136"/>
      <c r="AI238" s="136"/>
      <c r="AJ238" s="136"/>
      <c r="AK238" s="136"/>
      <c r="AL238" s="136"/>
      <c r="AM238" s="136"/>
      <c r="AN238" s="136"/>
      <c r="AO238" s="136"/>
    </row>
    <row r="239" spans="1:41" ht="15.75" customHeight="1">
      <c r="A239" s="102" t="s">
        <v>186</v>
      </c>
      <c r="B239" s="597">
        <f>('Pivot Table for Data Exchange'!$O$403)*100</f>
        <v>76.839233971132202</v>
      </c>
      <c r="C239" s="597">
        <f>('Pivot Table for Data Exchange'!$O$406)*100</f>
        <v>4.986387082612934</v>
      </c>
      <c r="D239" s="603">
        <f>SUM(E239:G239)</f>
        <v>18.174378946254851</v>
      </c>
      <c r="E239" s="597">
        <f>('Pivot Table for Data Exchange'!$O$409)*100</f>
        <v>17.002384842645906</v>
      </c>
      <c r="F239" s="597">
        <f>('Pivot Table for Data Exchange'!$O$412)*100</f>
        <v>1.1717625681105561</v>
      </c>
      <c r="G239" s="634">
        <f>('Pivot Table for Data Exchange'!$O$415)*100</f>
        <v>2.3153549839167913E-4</v>
      </c>
      <c r="H239" s="597">
        <f>('Pivot Table for Data Exchange'!$O$418)*100</f>
        <v>0</v>
      </c>
      <c r="I239" s="101"/>
      <c r="J239" s="101"/>
      <c r="K239" s="101"/>
      <c r="L239" s="101"/>
      <c r="M239" s="101"/>
      <c r="N239" s="101"/>
      <c r="O239" s="101"/>
      <c r="P239" s="119"/>
      <c r="Q239" s="602">
        <f t="shared" si="34"/>
        <v>99.999999999999986</v>
      </c>
      <c r="R239" s="135"/>
      <c r="Z239" s="136"/>
      <c r="AA239" s="136"/>
      <c r="AB239" s="136"/>
      <c r="AC239" s="136"/>
      <c r="AD239" s="136"/>
      <c r="AE239" s="136"/>
      <c r="AF239" s="136"/>
      <c r="AG239" s="136"/>
      <c r="AH239" s="136"/>
      <c r="AI239" s="136"/>
      <c r="AJ239" s="136"/>
      <c r="AK239" s="136"/>
      <c r="AL239" s="136"/>
      <c r="AM239" s="136"/>
      <c r="AN239" s="136"/>
      <c r="AO239" s="136"/>
    </row>
    <row r="240" spans="1:41" ht="10.5" customHeight="1">
      <c r="A240" s="102"/>
      <c r="B240" s="597"/>
      <c r="C240" s="597"/>
      <c r="D240" s="603"/>
      <c r="E240" s="597"/>
      <c r="F240" s="597"/>
      <c r="G240" s="599"/>
      <c r="H240" s="597"/>
      <c r="I240" s="101"/>
      <c r="J240" s="101"/>
      <c r="K240" s="101"/>
      <c r="L240" s="101"/>
      <c r="M240" s="101"/>
      <c r="N240" s="101"/>
      <c r="O240" s="101"/>
      <c r="P240" s="119"/>
      <c r="Q240" s="602">
        <f t="shared" si="34"/>
        <v>0</v>
      </c>
      <c r="R240" s="135"/>
      <c r="Z240" s="136"/>
      <c r="AA240" s="136"/>
      <c r="AB240" s="136"/>
      <c r="AC240" s="136"/>
      <c r="AD240" s="136"/>
      <c r="AE240" s="136"/>
      <c r="AF240" s="136"/>
      <c r="AG240" s="136"/>
      <c r="AH240" s="136"/>
      <c r="AI240" s="136"/>
      <c r="AJ240" s="136"/>
      <c r="AK240" s="136"/>
      <c r="AL240" s="136"/>
      <c r="AM240" s="136"/>
      <c r="AN240" s="136"/>
      <c r="AO240" s="136"/>
    </row>
    <row r="241" spans="1:41" ht="15.75" customHeight="1">
      <c r="A241" s="102" t="s">
        <v>187</v>
      </c>
      <c r="B241" s="597">
        <f>('Pivot Table for Data Exchange'!$O$439)*100</f>
        <v>42.820810267843086</v>
      </c>
      <c r="C241" s="597">
        <f>('Pivot Table for Data Exchange'!$O$442)*100</f>
        <v>33.455484391039569</v>
      </c>
      <c r="D241" s="603">
        <f>SUM(E241:G241)</f>
        <v>23.515627853665602</v>
      </c>
      <c r="E241" s="597">
        <f>('Pivot Table for Data Exchange'!$O$445)*100</f>
        <v>15.819682971527897</v>
      </c>
      <c r="F241" s="597">
        <f>('Pivot Table for Data Exchange'!$O$448)*100</f>
        <v>1.8295200488704995</v>
      </c>
      <c r="G241" s="599">
        <f>('Pivot Table for Data Exchange'!$O$451)*100</f>
        <v>5.8664248332672075</v>
      </c>
      <c r="H241" s="597">
        <f>('Pivot Table for Data Exchange'!$O$454)*100</f>
        <v>0.20807748745174351</v>
      </c>
      <c r="I241" s="101"/>
      <c r="J241" s="101"/>
      <c r="K241" s="101"/>
      <c r="L241" s="101"/>
      <c r="M241" s="101"/>
      <c r="N241" s="101"/>
      <c r="O241" s="101"/>
      <c r="P241" s="119"/>
      <c r="Q241" s="602">
        <f t="shared" si="34"/>
        <v>100</v>
      </c>
      <c r="R241" s="135"/>
      <c r="Z241" s="136"/>
      <c r="AA241" s="136"/>
      <c r="AB241" s="136"/>
      <c r="AC241" s="136"/>
      <c r="AD241" s="136"/>
      <c r="AE241" s="136"/>
      <c r="AF241" s="136"/>
      <c r="AG241" s="136"/>
      <c r="AH241" s="136"/>
      <c r="AI241" s="136"/>
      <c r="AJ241" s="136"/>
      <c r="AK241" s="136"/>
      <c r="AL241" s="136"/>
      <c r="AM241" s="136"/>
      <c r="AN241" s="136"/>
      <c r="AO241" s="136"/>
    </row>
    <row r="242" spans="1:41" ht="15.75" customHeight="1">
      <c r="A242" s="102" t="s">
        <v>188</v>
      </c>
      <c r="B242" s="597">
        <f>('Pivot Table for Data Exchange'!$O$475)*100</f>
        <v>71.005035314294815</v>
      </c>
      <c r="C242" s="597">
        <f>('Pivot Table for Data Exchange'!$O$478)*100</f>
        <v>10.392984134095416</v>
      </c>
      <c r="D242" s="603">
        <f>SUM(E242:G242)</f>
        <v>18.601980551609763</v>
      </c>
      <c r="E242" s="597">
        <f>('Pivot Table for Data Exchange'!$O$481)*100</f>
        <v>17.632521495715824</v>
      </c>
      <c r="F242" s="597">
        <f>('Pivot Table for Data Exchange'!$O$484)*100</f>
        <v>0.49920101107250564</v>
      </c>
      <c r="G242" s="599">
        <f>('Pivot Table for Data Exchange'!$O$487)*100</f>
        <v>0.47025804482143435</v>
      </c>
      <c r="H242" s="597">
        <f>('Pivot Table for Data Exchange'!$O$490)*100</f>
        <v>0</v>
      </c>
      <c r="I242" s="101"/>
      <c r="J242" s="101"/>
      <c r="K242" s="101"/>
      <c r="L242" s="101"/>
      <c r="M242" s="101"/>
      <c r="N242" s="101"/>
      <c r="O242" s="101"/>
      <c r="P242" s="119"/>
      <c r="Q242" s="602">
        <f t="shared" si="34"/>
        <v>100</v>
      </c>
      <c r="R242" s="135"/>
      <c r="Z242" s="136"/>
      <c r="AA242" s="136"/>
      <c r="AB242" s="136"/>
      <c r="AC242" s="136"/>
      <c r="AD242" s="136"/>
      <c r="AE242" s="136"/>
      <c r="AF242" s="136"/>
      <c r="AG242" s="136"/>
      <c r="AH242" s="136"/>
      <c r="AI242" s="136"/>
      <c r="AJ242" s="136"/>
      <c r="AK242" s="136"/>
      <c r="AL242" s="136"/>
      <c r="AM242" s="136"/>
      <c r="AN242" s="136"/>
      <c r="AO242" s="136"/>
    </row>
    <row r="243" spans="1:41" ht="15.75" customHeight="1">
      <c r="A243" s="102" t="s">
        <v>189</v>
      </c>
      <c r="B243" s="597">
        <f>('Pivot Table for Data Exchange'!$O$511)*100</f>
        <v>62.462392402171638</v>
      </c>
      <c r="C243" s="597">
        <f>('Pivot Table for Data Exchange'!$O$514)*100</f>
        <v>12.005678008614222</v>
      </c>
      <c r="D243" s="603">
        <f>SUM(E243:G243)</f>
        <v>25.531929589214137</v>
      </c>
      <c r="E243" s="597">
        <f>('Pivot Table for Data Exchange'!$O$517)*100</f>
        <v>23.336676799389735</v>
      </c>
      <c r="F243" s="597">
        <f>('Pivot Table for Data Exchange'!$O$520)*100</f>
        <v>2.1952527898244028</v>
      </c>
      <c r="G243" s="599">
        <f>('Pivot Table for Data Exchange'!$O$523)*100</f>
        <v>0</v>
      </c>
      <c r="H243" s="597">
        <f>('Pivot Table for Data Exchange'!$O$526)*100</f>
        <v>0</v>
      </c>
      <c r="I243" s="101"/>
      <c r="J243" s="101"/>
      <c r="K243" s="101"/>
      <c r="L243" s="101"/>
      <c r="M243" s="101"/>
      <c r="N243" s="101"/>
      <c r="O243" s="101"/>
      <c r="P243" s="119"/>
      <c r="Q243" s="602">
        <f t="shared" si="34"/>
        <v>100</v>
      </c>
      <c r="R243" s="135"/>
      <c r="Z243" s="136"/>
      <c r="AA243" s="136"/>
      <c r="AB243" s="136"/>
      <c r="AC243" s="136"/>
      <c r="AD243" s="136"/>
      <c r="AE243" s="136"/>
      <c r="AF243" s="136"/>
      <c r="AG243" s="136"/>
      <c r="AH243" s="136"/>
      <c r="AI243" s="136"/>
      <c r="AJ243" s="136"/>
      <c r="AK243" s="136"/>
      <c r="AL243" s="136"/>
      <c r="AM243" s="136"/>
      <c r="AN243" s="136"/>
      <c r="AO243" s="136"/>
    </row>
    <row r="244" spans="1:41" ht="15.75" customHeight="1">
      <c r="A244" s="596" t="s">
        <v>190</v>
      </c>
      <c r="B244" s="600">
        <f>('Pivot Table for Data Exchange'!$O$547)*100</f>
        <v>64.76686414778645</v>
      </c>
      <c r="C244" s="600">
        <f>('Pivot Table for Data Exchange'!$O$550)*100</f>
        <v>15.268306841269572</v>
      </c>
      <c r="D244" s="604">
        <f>SUM(E244:G244)</f>
        <v>19.96482901094398</v>
      </c>
      <c r="E244" s="600">
        <f>('Pivot Table for Data Exchange'!$O$553)*100</f>
        <v>18.215840603711733</v>
      </c>
      <c r="F244" s="600">
        <f>('Pivot Table for Data Exchange'!$O$556)*100</f>
        <v>1.5203769783681345</v>
      </c>
      <c r="G244" s="601">
        <f>('Pivot Table for Data Exchange'!$O$559)*100</f>
        <v>0.22861142886411362</v>
      </c>
      <c r="H244" s="600">
        <f>('Pivot Table for Data Exchange'!$O$562)*100</f>
        <v>0</v>
      </c>
      <c r="I244" s="101"/>
      <c r="J244" s="101"/>
      <c r="K244" s="101"/>
      <c r="L244" s="101"/>
      <c r="M244" s="101"/>
      <c r="N244" s="101"/>
      <c r="O244" s="101"/>
      <c r="P244" s="119"/>
      <c r="Q244" s="602">
        <f t="shared" si="34"/>
        <v>100</v>
      </c>
      <c r="R244" s="135"/>
      <c r="Z244" s="136"/>
      <c r="AA244" s="136"/>
      <c r="AB244" s="136"/>
      <c r="AC244" s="136"/>
      <c r="AD244" s="136"/>
      <c r="AE244" s="136"/>
      <c r="AF244" s="136"/>
      <c r="AG244" s="136"/>
      <c r="AH244" s="136"/>
      <c r="AI244" s="136"/>
      <c r="AJ244" s="136"/>
      <c r="AK244" s="136"/>
      <c r="AL244" s="136"/>
      <c r="AM244" s="136"/>
      <c r="AN244" s="136"/>
      <c r="AO244" s="136"/>
    </row>
    <row r="245" spans="1:41" s="141" customFormat="1" ht="18" customHeight="1">
      <c r="A245" s="43" t="s">
        <v>219</v>
      </c>
      <c r="B245" s="106"/>
      <c r="C245" s="106"/>
      <c r="D245" s="107"/>
      <c r="E245" s="106"/>
      <c r="F245" s="107"/>
      <c r="G245" s="107"/>
      <c r="H245" s="106"/>
      <c r="I245" s="43"/>
      <c r="J245" s="106"/>
      <c r="K245" s="106"/>
      <c r="L245" s="107"/>
      <c r="M245" s="106"/>
      <c r="N245" s="107"/>
      <c r="O245" s="107"/>
      <c r="P245" s="106"/>
      <c r="Q245" s="602">
        <f t="shared" si="34"/>
        <v>0</v>
      </c>
      <c r="R245" s="139"/>
      <c r="S245" s="140"/>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row>
    <row r="246" spans="1:41" s="141" customFormat="1" ht="28.5" customHeight="1">
      <c r="A246" s="655" t="s">
        <v>225</v>
      </c>
      <c r="B246" s="657"/>
      <c r="C246" s="657"/>
      <c r="D246" s="657"/>
      <c r="E246" s="657"/>
      <c r="F246" s="657"/>
      <c r="G246" s="657"/>
      <c r="H246" s="657"/>
      <c r="I246" s="43"/>
      <c r="J246" s="45"/>
      <c r="K246" s="45"/>
      <c r="L246" s="45"/>
      <c r="M246" s="45"/>
      <c r="N246" s="45"/>
      <c r="O246" s="45"/>
      <c r="P246" s="115"/>
      <c r="Q246" s="602">
        <f t="shared" si="34"/>
        <v>0</v>
      </c>
      <c r="R246" s="144"/>
    </row>
    <row r="247" spans="1:41" ht="12" customHeight="1">
      <c r="A247" s="102"/>
      <c r="B247" s="121"/>
      <c r="C247" s="121"/>
      <c r="D247" s="122"/>
      <c r="E247" s="121"/>
      <c r="F247" s="122"/>
      <c r="G247" s="122"/>
      <c r="H247" s="121"/>
      <c r="I247" s="102"/>
      <c r="J247" s="121"/>
      <c r="K247" s="121"/>
      <c r="L247" s="122"/>
      <c r="M247" s="121"/>
      <c r="N247" s="122"/>
      <c r="O247" s="122"/>
      <c r="P247" s="121"/>
      <c r="Q247" s="602">
        <f t="shared" si="34"/>
        <v>0</v>
      </c>
      <c r="R247" s="135"/>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row>
    <row r="248" spans="1:41" s="141" customFormat="1">
      <c r="A248" s="45"/>
      <c r="B248" s="45"/>
      <c r="C248" s="45"/>
      <c r="D248" s="45"/>
      <c r="E248" s="45"/>
      <c r="F248" s="45"/>
      <c r="G248" s="45"/>
      <c r="H248" s="49" t="s">
        <v>900</v>
      </c>
      <c r="I248" s="47"/>
      <c r="J248" s="47"/>
      <c r="K248" s="47"/>
      <c r="L248" s="47"/>
      <c r="M248" s="47"/>
      <c r="N248" s="47"/>
      <c r="O248" s="47"/>
      <c r="P248" s="47"/>
      <c r="Q248" s="602">
        <f t="shared" si="34"/>
        <v>0</v>
      </c>
      <c r="R248" s="143"/>
    </row>
    <row r="249" spans="1:41" ht="18">
      <c r="A249" s="16" t="s">
        <v>273</v>
      </c>
      <c r="B249" s="71"/>
      <c r="C249" s="71"/>
      <c r="D249" s="71"/>
      <c r="E249" s="71"/>
      <c r="F249" s="71"/>
      <c r="G249" s="71"/>
      <c r="H249" s="72"/>
      <c r="I249" s="118"/>
      <c r="J249" s="102"/>
      <c r="K249" s="102"/>
      <c r="L249" s="102"/>
      <c r="M249" s="102"/>
      <c r="N249" s="102"/>
      <c r="O249" s="102"/>
      <c r="P249" s="102"/>
      <c r="Q249" s="602">
        <f t="shared" si="34"/>
        <v>0</v>
      </c>
    </row>
    <row r="250" spans="1:41">
      <c r="A250" s="22"/>
      <c r="B250" s="23"/>
      <c r="C250" s="23"/>
      <c r="D250" s="23"/>
      <c r="E250" s="23"/>
      <c r="F250" s="23"/>
      <c r="G250" s="23"/>
      <c r="H250" s="73"/>
      <c r="I250" s="118"/>
      <c r="J250" s="102"/>
      <c r="K250" s="102"/>
      <c r="L250" s="102"/>
      <c r="M250" s="102"/>
      <c r="N250" s="102"/>
      <c r="O250" s="102"/>
      <c r="P250" s="102"/>
      <c r="Q250" s="602">
        <f t="shared" si="34"/>
        <v>0</v>
      </c>
    </row>
    <row r="251" spans="1:41" ht="15.75">
      <c r="A251" s="74" t="s">
        <v>205</v>
      </c>
      <c r="B251" s="23"/>
      <c r="C251" s="23"/>
      <c r="D251" s="23"/>
      <c r="E251" s="23"/>
      <c r="F251" s="23"/>
      <c r="G251" s="23"/>
      <c r="H251" s="73"/>
      <c r="I251" s="118"/>
      <c r="J251" s="102"/>
      <c r="K251" s="102"/>
      <c r="L251" s="102"/>
      <c r="M251" s="102"/>
      <c r="N251" s="102"/>
      <c r="O251" s="102"/>
      <c r="P251" s="102"/>
      <c r="Q251" s="602">
        <f t="shared" si="34"/>
        <v>0</v>
      </c>
    </row>
    <row r="252" spans="1:41" ht="15.75">
      <c r="A252" s="74" t="s">
        <v>889</v>
      </c>
      <c r="B252" s="23"/>
      <c r="C252" s="23"/>
      <c r="D252" s="23"/>
      <c r="E252" s="23"/>
      <c r="F252" s="23"/>
      <c r="G252" s="23"/>
      <c r="H252" s="73"/>
      <c r="I252" s="118"/>
      <c r="J252" s="102"/>
      <c r="K252" s="102"/>
      <c r="L252" s="102"/>
      <c r="M252" s="102"/>
      <c r="N252" s="102"/>
      <c r="O252" s="102"/>
      <c r="P252" s="102"/>
      <c r="Q252" s="602">
        <f t="shared" si="34"/>
        <v>0</v>
      </c>
    </row>
    <row r="253" spans="1:41">
      <c r="A253" s="76"/>
      <c r="B253" s="77"/>
      <c r="C253" s="77"/>
      <c r="D253" s="77"/>
      <c r="E253" s="77"/>
      <c r="F253" s="77"/>
      <c r="G253" s="77"/>
      <c r="H253" s="77"/>
      <c r="I253" s="118"/>
      <c r="J253" s="102"/>
      <c r="K253" s="102"/>
      <c r="L253" s="102"/>
      <c r="M253" s="102"/>
      <c r="N253" s="102"/>
      <c r="O253" s="102"/>
      <c r="P253" s="102"/>
      <c r="Q253" s="602">
        <f t="shared" si="34"/>
        <v>0</v>
      </c>
    </row>
    <row r="254" spans="1:41">
      <c r="A254" s="80"/>
      <c r="B254" s="81" t="s">
        <v>207</v>
      </c>
      <c r="C254" s="81"/>
      <c r="D254" s="81"/>
      <c r="E254" s="81"/>
      <c r="F254" s="81"/>
      <c r="G254" s="81"/>
      <c r="H254" s="82"/>
      <c r="I254" s="118"/>
      <c r="J254" s="102"/>
      <c r="K254" s="102"/>
      <c r="L254" s="102"/>
      <c r="M254" s="102"/>
      <c r="N254" s="102"/>
      <c r="O254" s="102"/>
      <c r="P254" s="102"/>
      <c r="Q254" s="602">
        <f t="shared" si="34"/>
        <v>0</v>
      </c>
    </row>
    <row r="255" spans="1:41">
      <c r="A255" s="80"/>
      <c r="B255" s="81" t="s">
        <v>208</v>
      </c>
      <c r="C255" s="81"/>
      <c r="D255" s="653" t="s">
        <v>209</v>
      </c>
      <c r="E255" s="654"/>
      <c r="F255" s="654"/>
      <c r="G255" s="654"/>
      <c r="H255" s="86" t="s">
        <v>39</v>
      </c>
      <c r="I255" s="118"/>
      <c r="J255" s="102"/>
      <c r="K255" s="102"/>
      <c r="L255" s="102"/>
      <c r="M255" s="102"/>
      <c r="N255" s="102"/>
      <c r="O255" s="102"/>
      <c r="P255" s="102"/>
      <c r="Q255" s="602">
        <f t="shared" si="34"/>
        <v>0</v>
      </c>
    </row>
    <row r="256" spans="1:41" ht="36">
      <c r="A256" s="80"/>
      <c r="B256" s="87" t="s">
        <v>210</v>
      </c>
      <c r="C256" s="88" t="s">
        <v>211</v>
      </c>
      <c r="D256" s="89" t="s">
        <v>212</v>
      </c>
      <c r="E256" s="90" t="s">
        <v>7</v>
      </c>
      <c r="F256" s="87" t="s">
        <v>213</v>
      </c>
      <c r="G256" s="91" t="s">
        <v>214</v>
      </c>
      <c r="H256" s="92" t="s">
        <v>215</v>
      </c>
      <c r="I256" s="118"/>
      <c r="J256" s="102"/>
      <c r="K256" s="102"/>
      <c r="L256" s="102"/>
      <c r="M256" s="102"/>
      <c r="N256" s="102"/>
      <c r="O256" s="102"/>
      <c r="P256" s="102"/>
      <c r="Q256" s="602">
        <f t="shared" si="34"/>
        <v>0</v>
      </c>
    </row>
    <row r="257" spans="1:41" ht="15.75" customHeight="1">
      <c r="A257" s="99" t="s">
        <v>175</v>
      </c>
      <c r="B257" s="120">
        <f>('Pivot Table for Data Exchange'!$K$7)*100</f>
        <v>0</v>
      </c>
      <c r="C257" s="597">
        <f>('Pivot Table for Data Exchange'!$K$10)*100</f>
        <v>0</v>
      </c>
      <c r="D257" s="603">
        <f>SUM(E257:G257)</f>
        <v>0</v>
      </c>
      <c r="E257" s="597">
        <f>('Pivot Table for Data Exchange'!$K$13)*100</f>
        <v>0</v>
      </c>
      <c r="F257" s="597">
        <f>('Pivot Table for Data Exchange'!$K$16)*100</f>
        <v>0</v>
      </c>
      <c r="G257" s="97">
        <f>('Pivot Table for Data Exchange'!$K$19)*100</f>
        <v>0</v>
      </c>
      <c r="H257" s="597">
        <f>('Pivot Table for Data Exchange'!$K$22)*100</f>
        <v>0</v>
      </c>
      <c r="I257" s="102"/>
      <c r="J257" s="119"/>
      <c r="K257" s="119"/>
      <c r="L257" s="119"/>
      <c r="M257" s="119"/>
      <c r="N257" s="119"/>
      <c r="O257" s="119"/>
      <c r="P257" s="119"/>
      <c r="Q257" s="602">
        <f t="shared" si="34"/>
        <v>0</v>
      </c>
      <c r="R257" s="135"/>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row>
    <row r="258" spans="1:41" ht="15.75" customHeight="1">
      <c r="A258" s="102" t="s">
        <v>176</v>
      </c>
      <c r="B258" s="597">
        <f>('Pivot Table for Data Exchange'!$K$43)*100</f>
        <v>0</v>
      </c>
      <c r="C258" s="597">
        <f>('Pivot Table for Data Exchange'!$K$46)*100</f>
        <v>0</v>
      </c>
      <c r="D258" s="603">
        <f t="shared" ref="D258:D260" si="37">SUM(E258:G258)</f>
        <v>0</v>
      </c>
      <c r="E258" s="597">
        <f>('Pivot Table for Data Exchange'!$K$49)*100</f>
        <v>0</v>
      </c>
      <c r="F258" s="597">
        <f>('Pivot Table for Data Exchange'!$K$52)*100</f>
        <v>0</v>
      </c>
      <c r="G258" s="599">
        <f>('Pivot Table for Data Exchange'!$K$55)*100</f>
        <v>0</v>
      </c>
      <c r="H258" s="597">
        <f>('Pivot Table for Data Exchange'!$K$58)*100</f>
        <v>0</v>
      </c>
      <c r="I258" s="102"/>
      <c r="J258" s="119"/>
      <c r="K258" s="119"/>
      <c r="L258" s="119"/>
      <c r="M258" s="119"/>
      <c r="N258" s="119"/>
      <c r="O258" s="119"/>
      <c r="P258" s="119"/>
      <c r="Q258" s="602">
        <f t="shared" si="34"/>
        <v>0</v>
      </c>
      <c r="R258" s="135"/>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136"/>
      <c r="AN258" s="136"/>
      <c r="AO258" s="136"/>
    </row>
    <row r="259" spans="1:41" ht="15.75" customHeight="1">
      <c r="A259" s="102" t="s">
        <v>177</v>
      </c>
      <c r="B259" s="597">
        <f>('Pivot Table for Data Exchange'!$K$79)*100</f>
        <v>0</v>
      </c>
      <c r="C259" s="597">
        <f>('Pivot Table for Data Exchange'!$K$82)*100</f>
        <v>0</v>
      </c>
      <c r="D259" s="603">
        <f t="shared" si="37"/>
        <v>0</v>
      </c>
      <c r="E259" s="597">
        <f>('Pivot Table for Data Exchange'!$K$85)*100</f>
        <v>0</v>
      </c>
      <c r="F259" s="597">
        <f>('Pivot Table for Data Exchange'!$K$88)*100</f>
        <v>0</v>
      </c>
      <c r="G259" s="599">
        <f>('Pivot Table for Data Exchange'!$K$91)*100</f>
        <v>0</v>
      </c>
      <c r="H259" s="597">
        <f>('Pivot Table for Data Exchange'!$K$94)*100</f>
        <v>0</v>
      </c>
      <c r="I259" s="102"/>
      <c r="J259" s="119"/>
      <c r="K259" s="119"/>
      <c r="L259" s="119"/>
      <c r="M259" s="119"/>
      <c r="N259" s="119"/>
      <c r="O259" s="119"/>
      <c r="P259" s="119"/>
      <c r="Q259" s="602">
        <f t="shared" si="34"/>
        <v>0</v>
      </c>
      <c r="R259" s="135"/>
      <c r="S259" s="136"/>
      <c r="T259" s="142"/>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row>
    <row r="260" spans="1:41" ht="15.75" customHeight="1">
      <c r="A260" s="102" t="s">
        <v>217</v>
      </c>
      <c r="B260" s="597">
        <f>('Pivot Table for Data Exchange'!$K$115)*100</f>
        <v>66.501466060626882</v>
      </c>
      <c r="C260" s="597">
        <f>('Pivot Table for Data Exchange'!$K$118)*100</f>
        <v>1.4747855207601424</v>
      </c>
      <c r="D260" s="603">
        <f t="shared" si="37"/>
        <v>31.517704573236667</v>
      </c>
      <c r="E260" s="597">
        <f>('Pivot Table for Data Exchange'!$K$121)*100</f>
        <v>27.655221895399663</v>
      </c>
      <c r="F260" s="104">
        <f>('Pivot Table for Data Exchange'!$K$124)*100</f>
        <v>1.2391205678235196E-2</v>
      </c>
      <c r="G260" s="599">
        <f>('Pivot Table for Data Exchange'!$K$127)*100</f>
        <v>3.8500914721587711</v>
      </c>
      <c r="H260" s="597">
        <f>('Pivot Table for Data Exchange'!$K$130)*100</f>
        <v>0.50604384537631675</v>
      </c>
      <c r="I260" s="102"/>
      <c r="J260" s="119"/>
      <c r="K260" s="119"/>
      <c r="L260" s="119"/>
      <c r="M260" s="119"/>
      <c r="N260" s="119"/>
      <c r="O260" s="119"/>
      <c r="P260" s="119"/>
      <c r="Q260" s="602">
        <f t="shared" si="34"/>
        <v>100</v>
      </c>
      <c r="R260" s="135"/>
      <c r="S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row>
    <row r="261" spans="1:41" ht="15.75" customHeight="1">
      <c r="A261" s="102"/>
      <c r="B261" s="597"/>
      <c r="C261" s="597"/>
      <c r="D261" s="603"/>
      <c r="E261" s="597"/>
      <c r="F261" s="597"/>
      <c r="G261" s="599"/>
      <c r="H261" s="597"/>
      <c r="I261" s="102"/>
      <c r="J261" s="119"/>
      <c r="K261" s="119"/>
      <c r="L261" s="119"/>
      <c r="M261" s="119"/>
      <c r="N261" s="119"/>
      <c r="O261" s="119"/>
      <c r="P261" s="119"/>
      <c r="Q261" s="602">
        <f t="shared" si="34"/>
        <v>0</v>
      </c>
      <c r="R261" s="135"/>
      <c r="S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row>
    <row r="262" spans="1:41" ht="15.75" customHeight="1">
      <c r="A262" s="102" t="s">
        <v>179</v>
      </c>
      <c r="B262" s="597">
        <f>('Pivot Table for Data Exchange'!$K$151)*100</f>
        <v>0</v>
      </c>
      <c r="C262" s="597">
        <f>('Pivot Table for Data Exchange'!$K$154)*100</f>
        <v>0</v>
      </c>
      <c r="D262" s="603">
        <f t="shared" ref="D262:D263" si="38">SUM(E262:G262)</f>
        <v>0</v>
      </c>
      <c r="E262" s="597">
        <f>('Pivot Table for Data Exchange'!$K$157)*100</f>
        <v>0</v>
      </c>
      <c r="F262" s="597">
        <f>('Pivot Table for Data Exchange'!$K$160)*100</f>
        <v>0</v>
      </c>
      <c r="G262" s="599">
        <f>('Pivot Table for Data Exchange'!$K$163)*100</f>
        <v>0</v>
      </c>
      <c r="H262" s="597">
        <f>('Pivot Table for Data Exchange'!$K$166)*100</f>
        <v>0</v>
      </c>
      <c r="I262" s="102"/>
      <c r="J262" s="119"/>
      <c r="K262" s="119"/>
      <c r="L262" s="119"/>
      <c r="M262" s="119"/>
      <c r="N262" s="119"/>
      <c r="O262" s="119"/>
      <c r="P262" s="119"/>
      <c r="Q262" s="602">
        <f t="shared" si="34"/>
        <v>0</v>
      </c>
      <c r="R262" s="135"/>
      <c r="S262" s="136"/>
      <c r="T262" s="136"/>
      <c r="U262" s="136"/>
      <c r="V262" s="136"/>
      <c r="W262" s="136"/>
      <c r="X262" s="136"/>
      <c r="Y262" s="136"/>
      <c r="Z262" s="136"/>
      <c r="AA262" s="136"/>
      <c r="AB262" s="136"/>
      <c r="AC262" s="136"/>
      <c r="AD262" s="136"/>
      <c r="AE262" s="136"/>
      <c r="AF262" s="136"/>
      <c r="AG262" s="136"/>
      <c r="AH262" s="136"/>
      <c r="AI262" s="136"/>
      <c r="AJ262" s="136"/>
      <c r="AK262" s="136"/>
      <c r="AL262" s="136"/>
      <c r="AM262" s="136"/>
      <c r="AN262" s="136"/>
      <c r="AO262" s="136"/>
    </row>
    <row r="263" spans="1:41" ht="15.75" customHeight="1">
      <c r="A263" s="102" t="s">
        <v>180</v>
      </c>
      <c r="B263" s="597">
        <f>('Pivot Table for Data Exchange'!$K$187)*100</f>
        <v>0</v>
      </c>
      <c r="C263" s="597">
        <f>('Pivot Table for Data Exchange'!$K$190)*100</f>
        <v>0</v>
      </c>
      <c r="D263" s="603">
        <f t="shared" si="38"/>
        <v>0</v>
      </c>
      <c r="E263" s="597">
        <f>('Pivot Table for Data Exchange'!$K$193)*100</f>
        <v>0</v>
      </c>
      <c r="F263" s="597">
        <f>('Pivot Table for Data Exchange'!$K$196)*100</f>
        <v>0</v>
      </c>
      <c r="G263" s="599">
        <f>('Pivot Table for Data Exchange'!$K$199)*100</f>
        <v>0</v>
      </c>
      <c r="H263" s="597">
        <f>('Pivot Table for Data Exchange'!$K$202)*100</f>
        <v>0</v>
      </c>
      <c r="I263" s="102"/>
      <c r="J263" s="119"/>
      <c r="K263" s="119"/>
      <c r="L263" s="119"/>
      <c r="M263" s="119"/>
      <c r="N263" s="119"/>
      <c r="O263" s="119"/>
      <c r="P263" s="119"/>
      <c r="Q263" s="602">
        <f t="shared" si="34"/>
        <v>0</v>
      </c>
      <c r="R263" s="135"/>
      <c r="S263" s="136"/>
      <c r="T263" s="136"/>
      <c r="U263" s="136"/>
      <c r="V263" s="136"/>
      <c r="W263" s="136"/>
      <c r="X263" s="136"/>
      <c r="Y263" s="136"/>
      <c r="Z263" s="136"/>
      <c r="AA263" s="136"/>
      <c r="AB263" s="136"/>
      <c r="AC263" s="136"/>
      <c r="AD263" s="136"/>
      <c r="AE263" s="136"/>
      <c r="AF263" s="136"/>
      <c r="AG263" s="136"/>
      <c r="AH263" s="136"/>
      <c r="AI263" s="136"/>
      <c r="AJ263" s="136"/>
      <c r="AK263" s="136"/>
      <c r="AL263" s="136"/>
      <c r="AM263" s="136"/>
      <c r="AN263" s="136"/>
      <c r="AO263" s="136"/>
    </row>
    <row r="264" spans="1:41" ht="15.75" customHeight="1">
      <c r="A264" s="102" t="s">
        <v>181</v>
      </c>
      <c r="B264" s="597">
        <f>('Pivot Table for Data Exchange'!$K$223)*100</f>
        <v>0</v>
      </c>
      <c r="C264" s="597">
        <f>('Pivot Table for Data Exchange'!$K$226)*100</f>
        <v>0</v>
      </c>
      <c r="D264" s="603">
        <f>SUM(E264:G264)</f>
        <v>0</v>
      </c>
      <c r="E264" s="597">
        <f>('Pivot Table for Data Exchange'!$K$229)*100</f>
        <v>0</v>
      </c>
      <c r="F264" s="597">
        <f>('Pivot Table for Data Exchange'!$K$232)*100</f>
        <v>0</v>
      </c>
      <c r="G264" s="599">
        <f>('Pivot Table for Data Exchange'!$K$235)*100</f>
        <v>0</v>
      </c>
      <c r="H264" s="597">
        <f>('Pivot Table for Data Exchange'!$K$238)*100</f>
        <v>0</v>
      </c>
      <c r="I264" s="102"/>
      <c r="J264" s="119"/>
      <c r="K264" s="119"/>
      <c r="L264" s="119"/>
      <c r="M264" s="119"/>
      <c r="N264" s="119"/>
      <c r="O264" s="119"/>
      <c r="P264" s="119"/>
      <c r="Q264" s="602">
        <f t="shared" si="34"/>
        <v>0</v>
      </c>
      <c r="R264" s="135"/>
      <c r="S264" s="136"/>
      <c r="T264" s="142"/>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row>
    <row r="265" spans="1:41" ht="15.75" customHeight="1">
      <c r="A265" s="102" t="s">
        <v>222</v>
      </c>
      <c r="B265" s="597">
        <f>('Pivot Table for Data Exchange'!$K$259)*100</f>
        <v>0</v>
      </c>
      <c r="C265" s="597">
        <f>('Pivot Table for Data Exchange'!$K$262)*100</f>
        <v>0</v>
      </c>
      <c r="D265" s="603">
        <f>SUM(E265:G265)</f>
        <v>0</v>
      </c>
      <c r="E265" s="597">
        <f>('Pivot Table for Data Exchange'!$K$265)*100</f>
        <v>0</v>
      </c>
      <c r="F265" s="597">
        <f>('Pivot Table for Data Exchange'!$K$268)*100</f>
        <v>0</v>
      </c>
      <c r="G265" s="599">
        <f>('Pivot Table for Data Exchange'!$K$271)*100</f>
        <v>0</v>
      </c>
      <c r="H265" s="597">
        <f>('Pivot Table for Data Exchange'!$K$274)*100</f>
        <v>0</v>
      </c>
      <c r="I265" s="102"/>
      <c r="J265" s="119"/>
      <c r="K265" s="119"/>
      <c r="L265" s="119"/>
      <c r="M265" s="119"/>
      <c r="N265" s="119"/>
      <c r="O265" s="119"/>
      <c r="P265" s="119"/>
      <c r="Q265" s="602">
        <f t="shared" si="34"/>
        <v>0</v>
      </c>
      <c r="R265" s="135"/>
      <c r="S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row>
    <row r="266" spans="1:41" ht="15.75" customHeight="1">
      <c r="A266" s="102"/>
      <c r="B266" s="597"/>
      <c r="C266" s="597"/>
      <c r="D266" s="603"/>
      <c r="E266" s="597"/>
      <c r="F266" s="597"/>
      <c r="G266" s="599"/>
      <c r="H266" s="597"/>
      <c r="I266" s="102"/>
      <c r="J266" s="119"/>
      <c r="K266" s="119"/>
      <c r="L266" s="119"/>
      <c r="M266" s="119"/>
      <c r="N266" s="119"/>
      <c r="O266" s="119"/>
      <c r="P266" s="119"/>
      <c r="Q266" s="602">
        <f t="shared" si="34"/>
        <v>0</v>
      </c>
      <c r="R266" s="135"/>
      <c r="S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row>
    <row r="267" spans="1:41" ht="15.75" customHeight="1">
      <c r="A267" s="102" t="s">
        <v>224</v>
      </c>
      <c r="B267" s="597">
        <f>('Pivot Table for Data Exchange'!$K$295)*100</f>
        <v>0</v>
      </c>
      <c r="C267" s="597">
        <f>('Pivot Table for Data Exchange'!$K$298)*100</f>
        <v>0</v>
      </c>
      <c r="D267" s="603">
        <f>SUM(E267:G267)</f>
        <v>0</v>
      </c>
      <c r="E267" s="597">
        <f>('Pivot Table for Data Exchange'!$K$301)*100</f>
        <v>0</v>
      </c>
      <c r="F267" s="597">
        <f>('Pivot Table for Data Exchange'!$K$304)*100</f>
        <v>0</v>
      </c>
      <c r="G267" s="599">
        <f>('Pivot Table for Data Exchange'!$K$307)*100</f>
        <v>0</v>
      </c>
      <c r="H267" s="597">
        <f>('Pivot Table for Data Exchange'!$K$310)*100</f>
        <v>0</v>
      </c>
      <c r="I267" s="102"/>
      <c r="J267" s="119"/>
      <c r="K267" s="119"/>
      <c r="L267" s="119"/>
      <c r="M267" s="119"/>
      <c r="N267" s="119"/>
      <c r="O267" s="119"/>
      <c r="P267" s="119"/>
      <c r="Q267" s="602">
        <f t="shared" si="34"/>
        <v>0</v>
      </c>
      <c r="R267" s="135"/>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row>
    <row r="268" spans="1:41" ht="15.75" customHeight="1">
      <c r="A268" s="102" t="s">
        <v>184</v>
      </c>
      <c r="B268" s="597">
        <f>('Pivot Table for Data Exchange'!$K$331)*100</f>
        <v>0</v>
      </c>
      <c r="C268" s="597">
        <f>('Pivot Table for Data Exchange'!$K$334)*100</f>
        <v>0</v>
      </c>
      <c r="D268" s="603">
        <f>SUM(E268:G268)</f>
        <v>0</v>
      </c>
      <c r="E268" s="597">
        <f>('Pivot Table for Data Exchange'!$K$337)*100</f>
        <v>0</v>
      </c>
      <c r="F268" s="597">
        <f>('Pivot Table for Data Exchange'!$K$340)*100</f>
        <v>0</v>
      </c>
      <c r="G268" s="599">
        <f>('Pivot Table for Data Exchange'!$K$343)*100</f>
        <v>0</v>
      </c>
      <c r="H268" s="597">
        <f>('Pivot Table for Data Exchange'!$K$346)*100</f>
        <v>0</v>
      </c>
      <c r="I268" s="102"/>
      <c r="J268" s="119"/>
      <c r="K268" s="119"/>
      <c r="L268" s="119"/>
      <c r="M268" s="119"/>
      <c r="N268" s="119"/>
      <c r="O268" s="119"/>
      <c r="P268" s="119"/>
      <c r="Q268" s="602">
        <f t="shared" si="34"/>
        <v>0</v>
      </c>
      <c r="R268" s="135"/>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row>
    <row r="269" spans="1:41" ht="15.75" customHeight="1">
      <c r="A269" s="102" t="s">
        <v>185</v>
      </c>
      <c r="B269" s="597">
        <f>('Pivot Table for Data Exchange'!$K$367)*100</f>
        <v>70.503485845355229</v>
      </c>
      <c r="C269" s="597">
        <f>('Pivot Table for Data Exchange'!$K$370)*100</f>
        <v>5.7591899559364998</v>
      </c>
      <c r="D269" s="603">
        <f>SUM(E269:G269)</f>
        <v>23.709784511378043</v>
      </c>
      <c r="E269" s="597">
        <f>('Pivot Table for Data Exchange'!$K$373)*100</f>
        <v>21.759371038812098</v>
      </c>
      <c r="F269" s="597">
        <f>('Pivot Table for Data Exchange'!$K$376)*100</f>
        <v>1.9504134725659446</v>
      </c>
      <c r="G269" s="599">
        <f>('Pivot Table for Data Exchange'!$K$379)*100</f>
        <v>0</v>
      </c>
      <c r="H269" s="104">
        <f>('Pivot Table for Data Exchange'!$K$382)*100</f>
        <v>2.7539687330234805E-2</v>
      </c>
      <c r="I269" s="102"/>
      <c r="J269" s="119"/>
      <c r="K269" s="119"/>
      <c r="L269" s="119"/>
      <c r="M269" s="119"/>
      <c r="N269" s="119"/>
      <c r="O269" s="119"/>
      <c r="P269" s="119"/>
      <c r="Q269" s="602">
        <f t="shared" si="34"/>
        <v>100.00000000000001</v>
      </c>
      <c r="R269" s="135"/>
      <c r="S269" s="136"/>
      <c r="T269" s="142"/>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row>
    <row r="270" spans="1:41" ht="15.75" customHeight="1">
      <c r="A270" s="102" t="s">
        <v>186</v>
      </c>
      <c r="B270" s="597">
        <f>('Pivot Table for Data Exchange'!$K$403)*100</f>
        <v>0</v>
      </c>
      <c r="C270" s="597">
        <f>('Pivot Table for Data Exchange'!$K$406)*100</f>
        <v>0</v>
      </c>
      <c r="D270" s="603">
        <f>SUM(E270:G270)</f>
        <v>0</v>
      </c>
      <c r="E270" s="597">
        <f>('Pivot Table for Data Exchange'!$K$409)*100</f>
        <v>0</v>
      </c>
      <c r="F270" s="597">
        <f>('Pivot Table for Data Exchange'!$K$412)*100</f>
        <v>0</v>
      </c>
      <c r="G270" s="599">
        <f>('Pivot Table for Data Exchange'!$K$415)*100</f>
        <v>0</v>
      </c>
      <c r="H270" s="597">
        <f>('Pivot Table for Data Exchange'!$K$418)*100</f>
        <v>0</v>
      </c>
      <c r="I270" s="102"/>
      <c r="J270" s="119"/>
      <c r="K270" s="119"/>
      <c r="L270" s="119"/>
      <c r="M270" s="119"/>
      <c r="N270" s="119"/>
      <c r="O270" s="119"/>
      <c r="P270" s="119"/>
      <c r="Q270" s="602">
        <f t="shared" si="34"/>
        <v>0</v>
      </c>
      <c r="R270" s="135"/>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row>
    <row r="271" spans="1:41" ht="15.75" customHeight="1">
      <c r="A271" s="102"/>
      <c r="B271" s="597"/>
      <c r="C271" s="597"/>
      <c r="D271" s="603"/>
      <c r="E271" s="597"/>
      <c r="F271" s="597"/>
      <c r="G271" s="599"/>
      <c r="H271" s="597"/>
      <c r="I271" s="102"/>
      <c r="J271" s="119"/>
      <c r="K271" s="119"/>
      <c r="L271" s="119"/>
      <c r="M271" s="119"/>
      <c r="N271" s="119"/>
      <c r="O271" s="119"/>
      <c r="P271" s="119"/>
      <c r="Q271" s="602">
        <f t="shared" si="34"/>
        <v>0</v>
      </c>
      <c r="R271" s="135"/>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row>
    <row r="272" spans="1:41" ht="15.75" customHeight="1">
      <c r="A272" s="102" t="s">
        <v>187</v>
      </c>
      <c r="B272" s="597">
        <f>('Pivot Table for Data Exchange'!$K$439)*100</f>
        <v>0</v>
      </c>
      <c r="C272" s="597">
        <f>('Pivot Table for Data Exchange'!$K$442)*100</f>
        <v>0</v>
      </c>
      <c r="D272" s="603">
        <f>SUM(E272:G272)</f>
        <v>0</v>
      </c>
      <c r="E272" s="597">
        <f>('Pivot Table for Data Exchange'!$K$445)*100</f>
        <v>0</v>
      </c>
      <c r="F272" s="597">
        <f>('Pivot Table for Data Exchange'!$K$448)*100</f>
        <v>0</v>
      </c>
      <c r="G272" s="599">
        <f>('Pivot Table for Data Exchange'!$K$451)*100</f>
        <v>0</v>
      </c>
      <c r="H272" s="597">
        <f>('Pivot Table for Data Exchange'!$K$454)*100</f>
        <v>0</v>
      </c>
      <c r="I272" s="102"/>
      <c r="J272" s="119"/>
      <c r="K272" s="119"/>
      <c r="L272" s="119"/>
      <c r="M272" s="119"/>
      <c r="N272" s="119"/>
      <c r="O272" s="119"/>
      <c r="P272" s="119"/>
      <c r="Q272" s="602">
        <f t="shared" si="34"/>
        <v>0</v>
      </c>
      <c r="R272" s="135"/>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row>
    <row r="273" spans="1:41" ht="15.75" customHeight="1">
      <c r="A273" s="102" t="s">
        <v>188</v>
      </c>
      <c r="B273" s="597">
        <f>('Pivot Table for Data Exchange'!$K$475)*100</f>
        <v>79.60020368800312</v>
      </c>
      <c r="C273" s="597">
        <f>('Pivot Table for Data Exchange'!$K$478)*100</f>
        <v>1.0819948400775681</v>
      </c>
      <c r="D273" s="603">
        <f>SUM(E273:G273)</f>
        <v>19.317801471919314</v>
      </c>
      <c r="E273" s="597">
        <f>('Pivot Table for Data Exchange'!$K$481)*100</f>
        <v>19.166207587247879</v>
      </c>
      <c r="F273" s="597">
        <f>('Pivot Table for Data Exchange'!$K$484)*100</f>
        <v>0.14182623746322481</v>
      </c>
      <c r="G273" s="105">
        <f>('Pivot Table for Data Exchange'!$K$487)*100</f>
        <v>9.7676472082110759E-3</v>
      </c>
      <c r="H273" s="597">
        <f>('Pivot Table for Data Exchange'!$K$490)*100</f>
        <v>0</v>
      </c>
      <c r="I273" s="102"/>
      <c r="J273" s="119"/>
      <c r="K273" s="119"/>
      <c r="L273" s="119"/>
      <c r="M273" s="119"/>
      <c r="N273" s="119"/>
      <c r="O273" s="119"/>
      <c r="P273" s="119"/>
      <c r="Q273" s="602">
        <f t="shared" si="34"/>
        <v>100</v>
      </c>
      <c r="R273" s="135"/>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row>
    <row r="274" spans="1:41" ht="15.75" customHeight="1">
      <c r="A274" s="102" t="s">
        <v>189</v>
      </c>
      <c r="B274" s="597">
        <f>('Pivot Table for Data Exchange'!$K$511)*100</f>
        <v>0</v>
      </c>
      <c r="C274" s="597">
        <f>('Pivot Table for Data Exchange'!$K$514)*100</f>
        <v>0</v>
      </c>
      <c r="D274" s="603">
        <f>SUM(E274:G274)</f>
        <v>0</v>
      </c>
      <c r="E274" s="597">
        <f>('Pivot Table for Data Exchange'!$K$517)*100</f>
        <v>0</v>
      </c>
      <c r="F274" s="597">
        <f>('Pivot Table for Data Exchange'!$K$520)*100</f>
        <v>0</v>
      </c>
      <c r="G274" s="599">
        <f>('Pivot Table for Data Exchange'!$K$523)*100</f>
        <v>0</v>
      </c>
      <c r="H274" s="597">
        <f>('Pivot Table for Data Exchange'!$K$526)*100</f>
        <v>0</v>
      </c>
      <c r="I274" s="102"/>
      <c r="J274" s="119"/>
      <c r="K274" s="119"/>
      <c r="L274" s="119"/>
      <c r="M274" s="119"/>
      <c r="N274" s="119"/>
      <c r="O274" s="119"/>
      <c r="P274" s="119"/>
      <c r="Q274" s="602">
        <f t="shared" si="34"/>
        <v>0</v>
      </c>
      <c r="R274" s="135"/>
      <c r="S274" s="136"/>
      <c r="T274" s="136"/>
      <c r="U274" s="136"/>
      <c r="V274" s="136"/>
      <c r="W274" s="136"/>
      <c r="X274" s="136"/>
      <c r="Y274" s="136"/>
      <c r="Z274" s="136"/>
      <c r="AA274" s="136"/>
      <c r="AB274" s="136"/>
      <c r="AC274" s="136"/>
      <c r="AD274" s="136"/>
      <c r="AE274" s="136"/>
      <c r="AF274" s="136"/>
      <c r="AG274" s="136"/>
      <c r="AH274" s="136"/>
      <c r="AI274" s="136"/>
      <c r="AJ274" s="136"/>
      <c r="AK274" s="136"/>
      <c r="AL274" s="136"/>
      <c r="AM274" s="136"/>
      <c r="AN274" s="136"/>
      <c r="AO274" s="136"/>
    </row>
    <row r="275" spans="1:41" ht="15.75" customHeight="1">
      <c r="A275" s="76" t="s">
        <v>190</v>
      </c>
      <c r="B275" s="600">
        <f>('Pivot Table for Data Exchange'!$K$547)*100</f>
        <v>66.072991128522006</v>
      </c>
      <c r="C275" s="600">
        <f>('Pivot Table for Data Exchange'!$K$550)*100</f>
        <v>12.799025349003138</v>
      </c>
      <c r="D275" s="604">
        <f>SUM(E275:G275)</f>
        <v>21.12798352247486</v>
      </c>
      <c r="E275" s="600">
        <f>('Pivot Table for Data Exchange'!$K$553)*100</f>
        <v>20.351897473176905</v>
      </c>
      <c r="F275" s="600">
        <f>('Pivot Table for Data Exchange'!$K$556)*100</f>
        <v>0</v>
      </c>
      <c r="G275" s="601">
        <f>('Pivot Table for Data Exchange'!$K$559)*100</f>
        <v>0.77608604929795511</v>
      </c>
      <c r="H275" s="600">
        <f>('Pivot Table for Data Exchange'!$K$562)*100</f>
        <v>0</v>
      </c>
      <c r="I275" s="102"/>
      <c r="J275" s="119"/>
      <c r="K275" s="119"/>
      <c r="L275" s="119"/>
      <c r="M275" s="119"/>
      <c r="N275" s="119"/>
      <c r="O275" s="119"/>
      <c r="P275" s="119"/>
      <c r="Q275" s="602">
        <f t="shared" si="34"/>
        <v>100</v>
      </c>
      <c r="R275" s="135"/>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row>
    <row r="276" spans="1:41" s="141" customFormat="1" ht="18" customHeight="1">
      <c r="A276" s="43" t="s">
        <v>219</v>
      </c>
      <c r="B276" s="106"/>
      <c r="C276" s="106"/>
      <c r="D276" s="107"/>
      <c r="E276" s="106"/>
      <c r="F276" s="107"/>
      <c r="G276" s="107"/>
      <c r="H276" s="106"/>
      <c r="I276" s="43"/>
      <c r="J276" s="106"/>
      <c r="K276" s="106"/>
      <c r="L276" s="107"/>
      <c r="M276" s="106"/>
      <c r="N276" s="107"/>
      <c r="O276" s="107"/>
      <c r="P276" s="106"/>
      <c r="Q276" s="602">
        <f t="shared" si="34"/>
        <v>0</v>
      </c>
      <c r="R276" s="139"/>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row>
    <row r="277" spans="1:41" s="141" customFormat="1" ht="27" customHeight="1">
      <c r="A277" s="655" t="s">
        <v>225</v>
      </c>
      <c r="B277" s="657"/>
      <c r="C277" s="657"/>
      <c r="D277" s="657"/>
      <c r="E277" s="657"/>
      <c r="F277" s="657"/>
      <c r="G277" s="657"/>
      <c r="H277" s="657"/>
      <c r="I277" s="43"/>
      <c r="J277" s="45"/>
      <c r="K277" s="45"/>
      <c r="L277" s="45"/>
      <c r="M277" s="45"/>
      <c r="N277" s="45"/>
      <c r="O277" s="45"/>
      <c r="P277" s="115"/>
      <c r="Q277" s="602">
        <f t="shared" si="34"/>
        <v>0</v>
      </c>
      <c r="R277" s="144"/>
    </row>
    <row r="278" spans="1:41" s="141" customFormat="1" ht="13.5" customHeight="1">
      <c r="A278" s="102"/>
      <c r="B278" s="121"/>
      <c r="C278" s="121"/>
      <c r="D278" s="122"/>
      <c r="E278" s="121"/>
      <c r="F278" s="122"/>
      <c r="G278" s="122"/>
      <c r="H278" s="121"/>
      <c r="I278" s="113"/>
      <c r="J278" s="45"/>
      <c r="K278" s="45"/>
      <c r="L278" s="45"/>
      <c r="M278" s="45"/>
      <c r="N278" s="45"/>
      <c r="O278" s="45"/>
      <c r="P278" s="45"/>
      <c r="Q278" s="602">
        <f t="shared" si="34"/>
        <v>0</v>
      </c>
      <c r="R278" s="144"/>
    </row>
    <row r="279" spans="1:41" s="141" customFormat="1">
      <c r="A279" s="45"/>
      <c r="B279" s="45"/>
      <c r="C279" s="45"/>
      <c r="D279" s="45"/>
      <c r="E279" s="45"/>
      <c r="F279" s="45"/>
      <c r="G279" s="45"/>
      <c r="H279" s="49" t="s">
        <v>900</v>
      </c>
      <c r="I279" s="123"/>
      <c r="J279" s="47"/>
      <c r="K279" s="47"/>
      <c r="L279" s="47"/>
      <c r="M279" s="47"/>
      <c r="N279" s="47"/>
      <c r="O279" s="47"/>
      <c r="P279" s="47"/>
      <c r="Q279" s="602">
        <f t="shared" si="34"/>
        <v>0</v>
      </c>
      <c r="R279" s="144"/>
    </row>
    <row r="280" spans="1:41" ht="18">
      <c r="A280" s="16" t="s">
        <v>274</v>
      </c>
      <c r="B280" s="71"/>
      <c r="C280" s="71"/>
      <c r="D280" s="71"/>
      <c r="E280" s="71"/>
      <c r="F280" s="71"/>
      <c r="G280" s="71"/>
      <c r="H280" s="72"/>
      <c r="I280" s="118"/>
      <c r="J280" s="102"/>
      <c r="K280" s="102"/>
      <c r="L280" s="102"/>
      <c r="M280" s="102"/>
      <c r="N280" s="102"/>
      <c r="O280" s="102"/>
      <c r="P280" s="102"/>
      <c r="Q280" s="602">
        <f t="shared" si="34"/>
        <v>0</v>
      </c>
    </row>
    <row r="281" spans="1:41">
      <c r="A281" s="22"/>
      <c r="B281" s="23"/>
      <c r="C281" s="23"/>
      <c r="D281" s="23"/>
      <c r="E281" s="23"/>
      <c r="F281" s="23"/>
      <c r="G281" s="23"/>
      <c r="H281" s="73"/>
      <c r="I281" s="118"/>
      <c r="J281" s="102"/>
      <c r="K281" s="102"/>
      <c r="L281" s="102"/>
      <c r="M281" s="102"/>
      <c r="N281" s="102"/>
      <c r="O281" s="102"/>
      <c r="P281" s="102"/>
      <c r="Q281" s="602">
        <f t="shared" si="34"/>
        <v>0</v>
      </c>
    </row>
    <row r="282" spans="1:41" ht="15.75">
      <c r="A282" s="74" t="s">
        <v>205</v>
      </c>
      <c r="B282" s="23"/>
      <c r="C282" s="23"/>
      <c r="D282" s="23"/>
      <c r="E282" s="23"/>
      <c r="F282" s="23"/>
      <c r="G282" s="23"/>
      <c r="H282" s="73"/>
      <c r="I282" s="118"/>
      <c r="J282" s="102"/>
      <c r="K282" s="102"/>
      <c r="L282" s="102"/>
      <c r="M282" s="102"/>
      <c r="N282" s="102"/>
      <c r="O282" s="102"/>
      <c r="P282" s="102"/>
      <c r="Q282" s="602">
        <f t="shared" si="34"/>
        <v>0</v>
      </c>
    </row>
    <row r="283" spans="1:41" ht="15.75">
      <c r="A283" s="74" t="s">
        <v>890</v>
      </c>
      <c r="B283" s="23"/>
      <c r="C283" s="23"/>
      <c r="D283" s="23"/>
      <c r="E283" s="23"/>
      <c r="F283" s="23"/>
      <c r="G283" s="23"/>
      <c r="H283" s="73"/>
      <c r="I283" s="118"/>
      <c r="J283" s="102"/>
      <c r="K283" s="102"/>
      <c r="L283" s="102"/>
      <c r="M283" s="102"/>
      <c r="N283" s="102"/>
      <c r="O283" s="102"/>
      <c r="P283" s="102"/>
      <c r="Q283" s="602">
        <f t="shared" ref="Q283:Q346" si="39">SUM(B283,C283,D283,H283)</f>
        <v>0</v>
      </c>
    </row>
    <row r="284" spans="1:41">
      <c r="A284" s="76"/>
      <c r="B284" s="77"/>
      <c r="C284" s="77"/>
      <c r="D284" s="77"/>
      <c r="E284" s="77"/>
      <c r="F284" s="77"/>
      <c r="G284" s="77"/>
      <c r="H284" s="77"/>
      <c r="I284" s="118"/>
      <c r="J284" s="102"/>
      <c r="K284" s="102"/>
      <c r="L284" s="102"/>
      <c r="M284" s="102"/>
      <c r="N284" s="102"/>
      <c r="O284" s="102"/>
      <c r="P284" s="102"/>
      <c r="Q284" s="602">
        <f t="shared" si="39"/>
        <v>0</v>
      </c>
    </row>
    <row r="285" spans="1:41">
      <c r="A285" s="80"/>
      <c r="B285" s="81" t="s">
        <v>207</v>
      </c>
      <c r="C285" s="81"/>
      <c r="D285" s="81"/>
      <c r="E285" s="81"/>
      <c r="F285" s="81"/>
      <c r="G285" s="81"/>
      <c r="H285" s="82"/>
      <c r="I285" s="118"/>
      <c r="J285" s="102"/>
      <c r="K285" s="102"/>
      <c r="L285" s="102"/>
      <c r="M285" s="102"/>
      <c r="N285" s="102"/>
      <c r="O285" s="102"/>
      <c r="P285" s="102"/>
      <c r="Q285" s="602">
        <f t="shared" si="39"/>
        <v>0</v>
      </c>
    </row>
    <row r="286" spans="1:41">
      <c r="A286" s="80"/>
      <c r="B286" s="81" t="s">
        <v>208</v>
      </c>
      <c r="C286" s="81"/>
      <c r="D286" s="653" t="s">
        <v>209</v>
      </c>
      <c r="E286" s="654"/>
      <c r="F286" s="654"/>
      <c r="G286" s="654"/>
      <c r="H286" s="86" t="s">
        <v>39</v>
      </c>
      <c r="I286" s="118"/>
      <c r="J286" s="102"/>
      <c r="K286" s="102"/>
      <c r="L286" s="102"/>
      <c r="M286" s="102"/>
      <c r="N286" s="102"/>
      <c r="O286" s="102"/>
      <c r="P286" s="102"/>
      <c r="Q286" s="602">
        <f t="shared" si="39"/>
        <v>0</v>
      </c>
    </row>
    <row r="287" spans="1:41" ht="36">
      <c r="A287" s="80"/>
      <c r="B287" s="87" t="s">
        <v>210</v>
      </c>
      <c r="C287" s="88" t="s">
        <v>211</v>
      </c>
      <c r="D287" s="89" t="s">
        <v>212</v>
      </c>
      <c r="E287" s="90" t="s">
        <v>7</v>
      </c>
      <c r="F287" s="87" t="s">
        <v>213</v>
      </c>
      <c r="G287" s="91" t="s">
        <v>214</v>
      </c>
      <c r="H287" s="92" t="s">
        <v>215</v>
      </c>
      <c r="I287" s="118"/>
      <c r="J287" s="102"/>
      <c r="K287" s="102"/>
      <c r="L287" s="102"/>
      <c r="M287" s="102"/>
      <c r="N287" s="102"/>
      <c r="O287" s="102"/>
      <c r="P287" s="102"/>
      <c r="Q287" s="602">
        <f t="shared" si="39"/>
        <v>0</v>
      </c>
    </row>
    <row r="288" spans="1:41" ht="15.75" customHeight="1">
      <c r="A288" s="99" t="s">
        <v>175</v>
      </c>
      <c r="B288" s="120">
        <f>('Pivot Table for Data Exchange'!$L$7)*100</f>
        <v>64.651501764579621</v>
      </c>
      <c r="C288" s="597">
        <f>('Pivot Table for Data Exchange'!$L$10)*100</f>
        <v>14.994808591780604</v>
      </c>
      <c r="D288" s="603">
        <f>SUM(E288:G288)</f>
        <v>20.353689643639775</v>
      </c>
      <c r="E288" s="597">
        <f>('Pivot Table for Data Exchange'!$L$13)*100</f>
        <v>17.339553039719267</v>
      </c>
      <c r="F288" s="597">
        <f>('Pivot Table for Data Exchange'!$L$16)*100</f>
        <v>0.21015219811212443</v>
      </c>
      <c r="G288" s="97">
        <f>('Pivot Table for Data Exchange'!$L$19)*100</f>
        <v>2.8039844058083871</v>
      </c>
      <c r="H288" s="597">
        <f>('Pivot Table for Data Exchange'!$L$22)*100</f>
        <v>0</v>
      </c>
      <c r="I288" s="102"/>
      <c r="J288" s="119"/>
      <c r="K288" s="119"/>
      <c r="L288" s="119"/>
      <c r="M288" s="119"/>
      <c r="N288" s="119"/>
      <c r="O288" s="119"/>
      <c r="P288" s="119"/>
      <c r="Q288" s="602">
        <f t="shared" si="39"/>
        <v>100</v>
      </c>
      <c r="R288" s="135"/>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row>
    <row r="289" spans="1:41" ht="15.75" customHeight="1">
      <c r="A289" s="102" t="s">
        <v>176</v>
      </c>
      <c r="B289" s="597">
        <f>('Pivot Table for Data Exchange'!$L$43)*100</f>
        <v>67.070803040317244</v>
      </c>
      <c r="C289" s="597">
        <f>('Pivot Table for Data Exchange'!$L$46)*100</f>
        <v>5.0788995373430268</v>
      </c>
      <c r="D289" s="603">
        <f t="shared" ref="D289:D291" si="40">SUM(E289:G289)</f>
        <v>27.850297422339722</v>
      </c>
      <c r="E289" s="597">
        <f>('Pivot Table for Data Exchange'!$L$49)*100</f>
        <v>27.825512227362854</v>
      </c>
      <c r="F289" s="104">
        <f>('Pivot Table for Data Exchange'!$L$52)*100</f>
        <v>2.4785194976867153E-2</v>
      </c>
      <c r="G289" s="599">
        <f>('Pivot Table for Data Exchange'!$L$55)*100</f>
        <v>0</v>
      </c>
      <c r="H289" s="597">
        <f>('Pivot Table for Data Exchange'!$L$58)*100</f>
        <v>0</v>
      </c>
      <c r="I289" s="102"/>
      <c r="J289" s="119"/>
      <c r="K289" s="119"/>
      <c r="L289" s="119"/>
      <c r="M289" s="119"/>
      <c r="N289" s="119"/>
      <c r="O289" s="119"/>
      <c r="P289" s="119"/>
      <c r="Q289" s="602">
        <f t="shared" si="39"/>
        <v>99.999999999999986</v>
      </c>
      <c r="R289" s="135"/>
      <c r="S289" s="136"/>
      <c r="T289" s="136"/>
      <c r="U289" s="136"/>
      <c r="V289" s="136"/>
      <c r="W289" s="136"/>
      <c r="X289" s="136"/>
      <c r="Y289" s="136"/>
      <c r="Z289" s="136"/>
      <c r="AA289" s="136"/>
      <c r="AB289" s="136"/>
      <c r="AC289" s="136"/>
      <c r="AD289" s="136"/>
      <c r="AE289" s="136"/>
      <c r="AF289" s="136"/>
      <c r="AG289" s="136"/>
      <c r="AH289" s="136"/>
      <c r="AI289" s="136"/>
      <c r="AJ289" s="136"/>
      <c r="AK289" s="136"/>
      <c r="AL289" s="136"/>
      <c r="AM289" s="136"/>
      <c r="AN289" s="136"/>
      <c r="AO289" s="136"/>
    </row>
    <row r="290" spans="1:41" ht="15.75" customHeight="1">
      <c r="A290" s="102" t="s">
        <v>177</v>
      </c>
      <c r="B290" s="597">
        <f>('Pivot Table for Data Exchange'!$L$79)*100</f>
        <v>86.705081393579803</v>
      </c>
      <c r="C290" s="597">
        <f>('Pivot Table for Data Exchange'!$L$82)*100</f>
        <v>0</v>
      </c>
      <c r="D290" s="603">
        <f t="shared" si="40"/>
        <v>13.294918606420204</v>
      </c>
      <c r="E290" s="597">
        <f>('Pivot Table for Data Exchange'!$L$85)*100</f>
        <v>8.5894315127541958</v>
      </c>
      <c r="F290" s="597">
        <f>('Pivot Table for Data Exchange'!$L$88)*100</f>
        <v>0.17495816217860946</v>
      </c>
      <c r="G290" s="599">
        <f>('Pivot Table for Data Exchange'!$L$91)*100</f>
        <v>4.5305289314873978</v>
      </c>
      <c r="H290" s="597">
        <f>('Pivot Table for Data Exchange'!$L$94)*100</f>
        <v>0</v>
      </c>
      <c r="I290" s="102"/>
      <c r="J290" s="119"/>
      <c r="K290" s="119"/>
      <c r="L290" s="119"/>
      <c r="M290" s="119"/>
      <c r="N290" s="119"/>
      <c r="O290" s="119"/>
      <c r="P290" s="119"/>
      <c r="Q290" s="602">
        <f t="shared" si="39"/>
        <v>100</v>
      </c>
      <c r="R290" s="135"/>
      <c r="S290" s="136"/>
      <c r="T290" s="142"/>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row>
    <row r="291" spans="1:41" ht="15.75" customHeight="1">
      <c r="A291" s="102" t="s">
        <v>217</v>
      </c>
      <c r="B291" s="597">
        <f>('Pivot Table for Data Exchange'!$L$115)*100</f>
        <v>71.075768652302457</v>
      </c>
      <c r="C291" s="597">
        <f>('Pivot Table for Data Exchange'!$L$118)*100</f>
        <v>2.453188738538187</v>
      </c>
      <c r="D291" s="603">
        <f t="shared" si="40"/>
        <v>26.446370263001597</v>
      </c>
      <c r="E291" s="597">
        <f>('Pivot Table for Data Exchange'!$L$121)*100</f>
        <v>16.128542397419064</v>
      </c>
      <c r="F291" s="597">
        <f>('Pivot Table for Data Exchange'!$L$124)*100</f>
        <v>7.7120809098642218E-2</v>
      </c>
      <c r="G291" s="599">
        <f>('Pivot Table for Data Exchange'!$L$127)*100</f>
        <v>10.240707056483892</v>
      </c>
      <c r="H291" s="104">
        <f>('Pivot Table for Data Exchange'!$L$130)*100</f>
        <v>2.4672346157751157E-2</v>
      </c>
      <c r="I291" s="102"/>
      <c r="J291" s="119"/>
      <c r="K291" s="119"/>
      <c r="L291" s="119"/>
      <c r="M291" s="119"/>
      <c r="N291" s="119"/>
      <c r="O291" s="119"/>
      <c r="P291" s="119"/>
      <c r="Q291" s="602">
        <f t="shared" si="39"/>
        <v>100</v>
      </c>
      <c r="R291" s="135"/>
      <c r="S291" s="136"/>
      <c r="U291" s="136"/>
      <c r="V291" s="136"/>
      <c r="W291" s="136"/>
      <c r="X291" s="136"/>
      <c r="Y291" s="136"/>
      <c r="Z291" s="136"/>
      <c r="AA291" s="136"/>
      <c r="AB291" s="136"/>
      <c r="AC291" s="136"/>
      <c r="AD291" s="136"/>
      <c r="AE291" s="136"/>
      <c r="AF291" s="136"/>
      <c r="AG291" s="136"/>
      <c r="AH291" s="136"/>
      <c r="AI291" s="136"/>
      <c r="AJ291" s="136"/>
      <c r="AK291" s="136"/>
      <c r="AL291" s="136"/>
      <c r="AM291" s="136"/>
      <c r="AN291" s="136"/>
      <c r="AO291" s="136"/>
    </row>
    <row r="292" spans="1:41" ht="15.75" customHeight="1">
      <c r="A292" s="102"/>
      <c r="B292" s="597"/>
      <c r="C292" s="597"/>
      <c r="D292" s="603"/>
      <c r="E292" s="597"/>
      <c r="F292" s="597"/>
      <c r="G292" s="599"/>
      <c r="H292" s="597"/>
      <c r="I292" s="102"/>
      <c r="J292" s="119"/>
      <c r="K292" s="119"/>
      <c r="L292" s="119"/>
      <c r="M292" s="119"/>
      <c r="N292" s="119"/>
      <c r="O292" s="119"/>
      <c r="P292" s="119"/>
      <c r="Q292" s="602">
        <f t="shared" si="39"/>
        <v>0</v>
      </c>
      <c r="R292" s="135"/>
      <c r="S292" s="136"/>
      <c r="U292" s="136"/>
      <c r="V292" s="136"/>
      <c r="W292" s="136"/>
      <c r="X292" s="136"/>
      <c r="Y292" s="136"/>
      <c r="Z292" s="136"/>
      <c r="AA292" s="136"/>
      <c r="AB292" s="136"/>
      <c r="AC292" s="136"/>
      <c r="AD292" s="136"/>
      <c r="AE292" s="136"/>
      <c r="AF292" s="136"/>
      <c r="AG292" s="136"/>
      <c r="AH292" s="136"/>
      <c r="AI292" s="136"/>
      <c r="AJ292" s="136"/>
      <c r="AK292" s="136"/>
      <c r="AL292" s="136"/>
      <c r="AM292" s="136"/>
      <c r="AN292" s="136"/>
      <c r="AO292" s="136"/>
    </row>
    <row r="293" spans="1:41" ht="15.75" customHeight="1">
      <c r="A293" s="102" t="s">
        <v>179</v>
      </c>
      <c r="B293" s="597">
        <f>('Pivot Table for Data Exchange'!$L$151)*100</f>
        <v>0</v>
      </c>
      <c r="C293" s="597">
        <f>('Pivot Table for Data Exchange'!$L$154)*100</f>
        <v>0</v>
      </c>
      <c r="D293" s="603">
        <f t="shared" ref="D293:D294" si="41">SUM(E293:G293)</f>
        <v>0</v>
      </c>
      <c r="E293" s="597">
        <f>('Pivot Table for Data Exchange'!$L$157)*100</f>
        <v>0</v>
      </c>
      <c r="F293" s="597">
        <f>('Pivot Table for Data Exchange'!$L$160)*100</f>
        <v>0</v>
      </c>
      <c r="G293" s="599">
        <f>('Pivot Table for Data Exchange'!$L$163)*100</f>
        <v>0</v>
      </c>
      <c r="H293" s="597">
        <f>('Pivot Table for Data Exchange'!$L$166)*100</f>
        <v>0</v>
      </c>
      <c r="I293" s="102"/>
      <c r="J293" s="119"/>
      <c r="K293" s="119"/>
      <c r="L293" s="119"/>
      <c r="M293" s="119"/>
      <c r="N293" s="119"/>
      <c r="O293" s="119"/>
      <c r="P293" s="119"/>
      <c r="Q293" s="602">
        <f t="shared" si="39"/>
        <v>0</v>
      </c>
      <c r="R293" s="135"/>
      <c r="S293" s="136"/>
      <c r="T293" s="136"/>
      <c r="U293" s="136"/>
      <c r="V293" s="136"/>
      <c r="W293" s="136"/>
      <c r="X293" s="136"/>
      <c r="Y293" s="136"/>
      <c r="Z293" s="136"/>
      <c r="AA293" s="136"/>
      <c r="AB293" s="136"/>
      <c r="AC293" s="136"/>
      <c r="AD293" s="136"/>
      <c r="AE293" s="136"/>
      <c r="AF293" s="136"/>
      <c r="AG293" s="136"/>
      <c r="AH293" s="136"/>
      <c r="AI293" s="136"/>
      <c r="AJ293" s="136"/>
      <c r="AK293" s="136"/>
      <c r="AL293" s="136"/>
      <c r="AM293" s="136"/>
      <c r="AN293" s="136"/>
      <c r="AO293" s="136"/>
    </row>
    <row r="294" spans="1:41" ht="15.75" customHeight="1">
      <c r="A294" s="102" t="s">
        <v>180</v>
      </c>
      <c r="B294" s="597">
        <f>('Pivot Table for Data Exchange'!$L$187)*100</f>
        <v>68.217773773208705</v>
      </c>
      <c r="C294" s="597">
        <f>('Pivot Table for Data Exchange'!$L$190)*100</f>
        <v>7.7553546033848262</v>
      </c>
      <c r="D294" s="603">
        <f t="shared" si="41"/>
        <v>24.026871623406464</v>
      </c>
      <c r="E294" s="597">
        <f>('Pivot Table for Data Exchange'!$L$193)*100</f>
        <v>23.866387311788269</v>
      </c>
      <c r="F294" s="597">
        <f>('Pivot Table for Data Exchange'!$L$196)*100</f>
        <v>0.16048431161819571</v>
      </c>
      <c r="G294" s="599">
        <f>('Pivot Table for Data Exchange'!$L$199)*100</f>
        <v>0</v>
      </c>
      <c r="H294" s="597">
        <f>('Pivot Table for Data Exchange'!$L$202)*100</f>
        <v>0</v>
      </c>
      <c r="I294" s="102"/>
      <c r="J294" s="119"/>
      <c r="K294" s="119"/>
      <c r="L294" s="119"/>
      <c r="M294" s="119"/>
      <c r="N294" s="119"/>
      <c r="O294" s="119"/>
      <c r="P294" s="119"/>
      <c r="Q294" s="602">
        <f t="shared" si="39"/>
        <v>100</v>
      </c>
      <c r="R294" s="135"/>
      <c r="S294" s="136"/>
      <c r="T294" s="136"/>
      <c r="U294" s="136"/>
      <c r="V294" s="136"/>
      <c r="W294" s="136"/>
      <c r="X294" s="136"/>
      <c r="Y294" s="136"/>
      <c r="Z294" s="136"/>
      <c r="AA294" s="136"/>
      <c r="AB294" s="136"/>
      <c r="AC294" s="136"/>
      <c r="AD294" s="136"/>
      <c r="AE294" s="136"/>
      <c r="AF294" s="136"/>
      <c r="AG294" s="136"/>
      <c r="AH294" s="136"/>
      <c r="AI294" s="136"/>
      <c r="AJ294" s="136"/>
      <c r="AK294" s="136"/>
      <c r="AL294" s="136"/>
      <c r="AM294" s="136"/>
      <c r="AN294" s="136"/>
      <c r="AO294" s="136"/>
    </row>
    <row r="295" spans="1:41" ht="15.75" customHeight="1">
      <c r="A295" s="102" t="s">
        <v>181</v>
      </c>
      <c r="B295" s="597">
        <f>('Pivot Table for Data Exchange'!$L$223)*100</f>
        <v>0</v>
      </c>
      <c r="C295" s="597">
        <f>('Pivot Table for Data Exchange'!$L$226)*100</f>
        <v>0</v>
      </c>
      <c r="D295" s="603">
        <f>SUM(E295:G295)</f>
        <v>0</v>
      </c>
      <c r="E295" s="597">
        <f>('Pivot Table for Data Exchange'!$L$229)*100</f>
        <v>0</v>
      </c>
      <c r="F295" s="597">
        <f>('Pivot Table for Data Exchange'!$L$232)*100</f>
        <v>0</v>
      </c>
      <c r="G295" s="599">
        <f>('Pivot Table for Data Exchange'!$L$235)*100</f>
        <v>0</v>
      </c>
      <c r="H295" s="597">
        <f>('Pivot Table for Data Exchange'!$L$238)*100</f>
        <v>0</v>
      </c>
      <c r="I295" s="102"/>
      <c r="J295" s="119"/>
      <c r="K295" s="119"/>
      <c r="L295" s="119"/>
      <c r="M295" s="119"/>
      <c r="N295" s="119"/>
      <c r="O295" s="119"/>
      <c r="P295" s="119"/>
      <c r="Q295" s="602">
        <f t="shared" si="39"/>
        <v>0</v>
      </c>
      <c r="R295" s="135"/>
      <c r="S295" s="136"/>
      <c r="T295" s="142"/>
      <c r="U295" s="136"/>
      <c r="V295" s="136"/>
      <c r="W295" s="136"/>
      <c r="X295" s="136"/>
      <c r="Y295" s="136"/>
      <c r="Z295" s="136"/>
      <c r="AA295" s="136"/>
      <c r="AB295" s="136"/>
      <c r="AC295" s="136"/>
      <c r="AD295" s="136"/>
      <c r="AE295" s="136"/>
      <c r="AF295" s="136"/>
      <c r="AG295" s="136"/>
      <c r="AH295" s="136"/>
      <c r="AI295" s="136"/>
      <c r="AJ295" s="136"/>
      <c r="AK295" s="136"/>
      <c r="AL295" s="136"/>
      <c r="AM295" s="136"/>
      <c r="AN295" s="136"/>
      <c r="AO295" s="136"/>
    </row>
    <row r="296" spans="1:41" ht="15.75" customHeight="1">
      <c r="A296" s="102" t="s">
        <v>222</v>
      </c>
      <c r="B296" s="597">
        <f>('Pivot Table for Data Exchange'!$L$259)*100</f>
        <v>77.085088798334795</v>
      </c>
      <c r="C296" s="597">
        <f>('Pivot Table for Data Exchange'!$L$262)*100</f>
        <v>8.5737919729752772</v>
      </c>
      <c r="D296" s="603">
        <f>SUM(E296:G296)</f>
        <v>14.34111922868993</v>
      </c>
      <c r="E296" s="597">
        <f>('Pivot Table for Data Exchange'!$L$265)*100</f>
        <v>14.224875689928906</v>
      </c>
      <c r="F296" s="597">
        <f>('Pivot Table for Data Exchange'!$L$268)*100</f>
        <v>6.9755620277754629E-2</v>
      </c>
      <c r="G296" s="105">
        <f>('Pivot Table for Data Exchange'!$L$271)*100</f>
        <v>4.6487918483268741E-2</v>
      </c>
      <c r="H296" s="597">
        <f>('Pivot Table for Data Exchange'!$L$274)*100</f>
        <v>0</v>
      </c>
      <c r="I296" s="102"/>
      <c r="J296" s="119"/>
      <c r="K296" s="119"/>
      <c r="L296" s="119"/>
      <c r="M296" s="119"/>
      <c r="N296" s="119"/>
      <c r="O296" s="119"/>
      <c r="P296" s="119"/>
      <c r="Q296" s="602">
        <f t="shared" si="39"/>
        <v>100</v>
      </c>
      <c r="R296" s="135"/>
      <c r="S296" s="136"/>
      <c r="U296" s="136"/>
      <c r="V296" s="136"/>
      <c r="W296" s="136"/>
      <c r="X296" s="136"/>
      <c r="Y296" s="136"/>
      <c r="Z296" s="136"/>
      <c r="AA296" s="136"/>
      <c r="AB296" s="136"/>
      <c r="AC296" s="136"/>
      <c r="AD296" s="136"/>
      <c r="AE296" s="136"/>
      <c r="AF296" s="136"/>
      <c r="AG296" s="136"/>
      <c r="AH296" s="136"/>
      <c r="AI296" s="136"/>
      <c r="AJ296" s="136"/>
      <c r="AK296" s="136"/>
      <c r="AL296" s="136"/>
      <c r="AM296" s="136"/>
      <c r="AN296" s="136"/>
      <c r="AO296" s="136"/>
    </row>
    <row r="297" spans="1:41" ht="9.75" customHeight="1">
      <c r="A297" s="102"/>
      <c r="B297" s="597"/>
      <c r="C297" s="597"/>
      <c r="D297" s="603"/>
      <c r="E297" s="597"/>
      <c r="F297" s="597"/>
      <c r="G297" s="599"/>
      <c r="H297" s="597"/>
      <c r="I297" s="102"/>
      <c r="J297" s="119"/>
      <c r="K297" s="119"/>
      <c r="L297" s="119"/>
      <c r="M297" s="119"/>
      <c r="N297" s="119"/>
      <c r="O297" s="119"/>
      <c r="P297" s="119"/>
      <c r="Q297" s="602">
        <f t="shared" si="39"/>
        <v>0</v>
      </c>
      <c r="R297" s="135"/>
      <c r="S297" s="136"/>
      <c r="U297" s="136"/>
      <c r="V297" s="136"/>
      <c r="W297" s="136"/>
      <c r="X297" s="136"/>
      <c r="Y297" s="136"/>
      <c r="Z297" s="136"/>
      <c r="AA297" s="136"/>
      <c r="AB297" s="136"/>
      <c r="AC297" s="136"/>
      <c r="AD297" s="136"/>
      <c r="AE297" s="136"/>
      <c r="AF297" s="136"/>
      <c r="AG297" s="136"/>
      <c r="AH297" s="136"/>
      <c r="AI297" s="136"/>
      <c r="AJ297" s="136"/>
      <c r="AK297" s="136"/>
      <c r="AL297" s="136"/>
      <c r="AM297" s="136"/>
      <c r="AN297" s="136"/>
      <c r="AO297" s="136"/>
    </row>
    <row r="298" spans="1:41" ht="15.75" customHeight="1">
      <c r="A298" s="102" t="s">
        <v>224</v>
      </c>
      <c r="B298" s="597">
        <f>('Pivot Table for Data Exchange'!$L$295)*100</f>
        <v>78.568459219513258</v>
      </c>
      <c r="C298" s="597">
        <f>('Pivot Table for Data Exchange'!$L$298)*100</f>
        <v>0</v>
      </c>
      <c r="D298" s="603">
        <f>SUM(E298:G298)</f>
        <v>21.431540780486745</v>
      </c>
      <c r="E298" s="597">
        <f>('Pivot Table for Data Exchange'!$L$301)*100</f>
        <v>21.431540780486745</v>
      </c>
      <c r="F298" s="597">
        <f>('Pivot Table for Data Exchange'!$L$304)*100</f>
        <v>0</v>
      </c>
      <c r="G298" s="599">
        <f>('Pivot Table for Data Exchange'!$L$307)*100</f>
        <v>0</v>
      </c>
      <c r="H298" s="597">
        <f>('Pivot Table for Data Exchange'!$L$310)*100</f>
        <v>0</v>
      </c>
      <c r="I298" s="124"/>
      <c r="J298" s="119"/>
      <c r="K298" s="119"/>
      <c r="L298" s="119"/>
      <c r="M298" s="119"/>
      <c r="N298" s="119"/>
      <c r="O298" s="119"/>
      <c r="P298" s="119"/>
      <c r="Q298" s="602">
        <f t="shared" si="39"/>
        <v>100</v>
      </c>
      <c r="R298" s="135"/>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c r="AN298" s="136"/>
      <c r="AO298" s="136"/>
    </row>
    <row r="299" spans="1:41" ht="15.75" customHeight="1">
      <c r="A299" s="102" t="s">
        <v>184</v>
      </c>
      <c r="B299" s="597">
        <f>('Pivot Table for Data Exchange'!$L$331)*100</f>
        <v>66.98944124602852</v>
      </c>
      <c r="C299" s="597">
        <f>('Pivot Table for Data Exchange'!$L$334)*100</f>
        <v>2.3159981844676429</v>
      </c>
      <c r="D299" s="603">
        <f>SUM(E299:G299)</f>
        <v>30.694560569503835</v>
      </c>
      <c r="E299" s="597">
        <f>('Pivot Table for Data Exchange'!$L$337)*100</f>
        <v>30.36927768885916</v>
      </c>
      <c r="F299" s="597">
        <f>('Pivot Table for Data Exchange'!$L$340)*100</f>
        <v>0.11227634313561549</v>
      </c>
      <c r="G299" s="599">
        <f>('Pivot Table for Data Exchange'!$L$343)*100</f>
        <v>0.21300653750905776</v>
      </c>
      <c r="H299" s="597">
        <f>('Pivot Table for Data Exchange'!$L$346)*100</f>
        <v>0</v>
      </c>
      <c r="I299" s="102"/>
      <c r="J299" s="119"/>
      <c r="K299" s="119"/>
      <c r="L299" s="119"/>
      <c r="M299" s="119"/>
      <c r="N299" s="119"/>
      <c r="O299" s="119"/>
      <c r="P299" s="119"/>
      <c r="Q299" s="602">
        <f t="shared" si="39"/>
        <v>100</v>
      </c>
      <c r="R299" s="135"/>
      <c r="S299" s="136"/>
      <c r="T299" s="136"/>
      <c r="U299" s="136"/>
      <c r="V299" s="136"/>
      <c r="W299" s="136"/>
      <c r="X299" s="136"/>
      <c r="Y299" s="136"/>
      <c r="Z299" s="136"/>
      <c r="AA299" s="136"/>
      <c r="AB299" s="136"/>
      <c r="AC299" s="136"/>
      <c r="AD299" s="136"/>
      <c r="AE299" s="136"/>
      <c r="AF299" s="136"/>
      <c r="AG299" s="136"/>
      <c r="AH299" s="136"/>
      <c r="AI299" s="136"/>
      <c r="AJ299" s="136"/>
      <c r="AK299" s="136"/>
      <c r="AL299" s="136"/>
      <c r="AM299" s="136"/>
      <c r="AN299" s="136"/>
      <c r="AO299" s="136"/>
    </row>
    <row r="300" spans="1:41" ht="15.75" customHeight="1">
      <c r="A300" s="102" t="s">
        <v>185</v>
      </c>
      <c r="B300" s="597">
        <f>('Pivot Table for Data Exchange'!$L$367)*100</f>
        <v>68.168706749266974</v>
      </c>
      <c r="C300" s="597">
        <f>('Pivot Table for Data Exchange'!$L$370)*100</f>
        <v>5.0636496707619383</v>
      </c>
      <c r="D300" s="603">
        <f>SUM(E300:G300)</f>
        <v>26.7199459804859</v>
      </c>
      <c r="E300" s="597">
        <f>('Pivot Table for Data Exchange'!$L$373)*100</f>
        <v>19.492116867049454</v>
      </c>
      <c r="F300" s="104">
        <f>('Pivot Table for Data Exchange'!$L$376)*100</f>
        <v>1.9147017370536704E-2</v>
      </c>
      <c r="G300" s="599">
        <f>('Pivot Table for Data Exchange'!$L$379)*100</f>
        <v>7.2086820960659104</v>
      </c>
      <c r="H300" s="104">
        <f>('Pivot Table for Data Exchange'!$L$382)*100</f>
        <v>4.7697599485183151E-2</v>
      </c>
      <c r="I300" s="102"/>
      <c r="J300" s="119"/>
      <c r="K300" s="119"/>
      <c r="L300" s="119"/>
      <c r="M300" s="119"/>
      <c r="N300" s="119"/>
      <c r="O300" s="119"/>
      <c r="P300" s="119"/>
      <c r="Q300" s="602">
        <f t="shared" si="39"/>
        <v>100</v>
      </c>
      <c r="R300" s="135"/>
      <c r="S300" s="136"/>
      <c r="T300" s="142"/>
      <c r="U300" s="136"/>
      <c r="V300" s="136"/>
      <c r="W300" s="136"/>
      <c r="X300" s="136"/>
      <c r="Y300" s="136"/>
      <c r="Z300" s="136"/>
      <c r="AA300" s="136"/>
      <c r="AB300" s="136"/>
      <c r="AC300" s="136"/>
      <c r="AD300" s="136"/>
      <c r="AE300" s="136"/>
      <c r="AF300" s="136"/>
      <c r="AG300" s="136"/>
      <c r="AH300" s="136"/>
      <c r="AI300" s="136"/>
      <c r="AJ300" s="136"/>
      <c r="AK300" s="136"/>
      <c r="AL300" s="136"/>
      <c r="AM300" s="136"/>
      <c r="AN300" s="136"/>
      <c r="AO300" s="136"/>
    </row>
    <row r="301" spans="1:41" ht="15.75" customHeight="1">
      <c r="A301" s="102" t="s">
        <v>186</v>
      </c>
      <c r="B301" s="597">
        <f>('Pivot Table for Data Exchange'!$L$403)*100</f>
        <v>77.725501163948493</v>
      </c>
      <c r="C301" s="597">
        <f>('Pivot Table for Data Exchange'!$L$406)*100</f>
        <v>3.7596121209339231</v>
      </c>
      <c r="D301" s="603">
        <f>SUM(E301:G301)</f>
        <v>18.514886715117576</v>
      </c>
      <c r="E301" s="597">
        <f>('Pivot Table for Data Exchange'!$L$409)*100</f>
        <v>18.514886715117576</v>
      </c>
      <c r="F301" s="597">
        <f>('Pivot Table for Data Exchange'!$L$412)*100</f>
        <v>0</v>
      </c>
      <c r="G301" s="599">
        <f>('Pivot Table for Data Exchange'!$L$415)*100</f>
        <v>0</v>
      </c>
      <c r="H301" s="597">
        <f>('Pivot Table for Data Exchange'!$L$418)*100</f>
        <v>0</v>
      </c>
      <c r="I301" s="102"/>
      <c r="J301" s="119"/>
      <c r="K301" s="119"/>
      <c r="L301" s="119"/>
      <c r="M301" s="119"/>
      <c r="N301" s="119"/>
      <c r="O301" s="119"/>
      <c r="P301" s="119"/>
      <c r="Q301" s="602">
        <f t="shared" si="39"/>
        <v>100</v>
      </c>
      <c r="R301" s="135"/>
      <c r="S301" s="136"/>
      <c r="T301" s="136"/>
      <c r="U301" s="136"/>
      <c r="V301" s="136"/>
      <c r="W301" s="136"/>
      <c r="X301" s="136"/>
      <c r="Y301" s="136"/>
      <c r="Z301" s="136"/>
      <c r="AA301" s="136"/>
      <c r="AB301" s="136"/>
      <c r="AC301" s="136"/>
      <c r="AD301" s="136"/>
      <c r="AE301" s="136"/>
      <c r="AF301" s="136"/>
      <c r="AG301" s="136"/>
      <c r="AH301" s="136"/>
      <c r="AI301" s="136"/>
      <c r="AJ301" s="136"/>
      <c r="AK301" s="136"/>
      <c r="AL301" s="136"/>
      <c r="AM301" s="136"/>
      <c r="AN301" s="136"/>
      <c r="AO301" s="136"/>
    </row>
    <row r="302" spans="1:41" ht="11.25" customHeight="1">
      <c r="A302" s="102"/>
      <c r="B302" s="597"/>
      <c r="C302" s="597"/>
      <c r="D302" s="603"/>
      <c r="E302" s="597"/>
      <c r="F302" s="597"/>
      <c r="G302" s="599"/>
      <c r="H302" s="597"/>
      <c r="I302" s="102"/>
      <c r="J302" s="119"/>
      <c r="K302" s="119"/>
      <c r="L302" s="119"/>
      <c r="M302" s="119"/>
      <c r="N302" s="119"/>
      <c r="O302" s="119"/>
      <c r="P302" s="119"/>
      <c r="Q302" s="602">
        <f t="shared" si="39"/>
        <v>0</v>
      </c>
      <c r="R302" s="135"/>
      <c r="S302" s="136"/>
      <c r="T302" s="136"/>
      <c r="U302" s="136"/>
      <c r="V302" s="136"/>
      <c r="W302" s="136"/>
      <c r="X302" s="136"/>
      <c r="Y302" s="136"/>
      <c r="Z302" s="136"/>
      <c r="AA302" s="136"/>
      <c r="AB302" s="136"/>
      <c r="AC302" s="136"/>
      <c r="AD302" s="136"/>
      <c r="AE302" s="136"/>
      <c r="AF302" s="136"/>
      <c r="AG302" s="136"/>
      <c r="AH302" s="136"/>
      <c r="AI302" s="136"/>
      <c r="AJ302" s="136"/>
      <c r="AK302" s="136"/>
      <c r="AL302" s="136"/>
      <c r="AM302" s="136"/>
      <c r="AN302" s="136"/>
      <c r="AO302" s="136"/>
    </row>
    <row r="303" spans="1:41" ht="15.75" customHeight="1">
      <c r="A303" s="102" t="s">
        <v>187</v>
      </c>
      <c r="B303" s="597">
        <f>('Pivot Table for Data Exchange'!$L$439)*100</f>
        <v>43.373632668624076</v>
      </c>
      <c r="C303" s="597">
        <f>('Pivot Table for Data Exchange'!$L$442)*100</f>
        <v>34.105786551387908</v>
      </c>
      <c r="D303" s="603">
        <f>SUM(E303:G303)</f>
        <v>22.370976834593453</v>
      </c>
      <c r="E303" s="597">
        <f>('Pivot Table for Data Exchange'!$L$445)*100</f>
        <v>16.710232900764989</v>
      </c>
      <c r="F303" s="597">
        <f>('Pivot Table for Data Exchange'!$L$448)*100</f>
        <v>0.30439488889586558</v>
      </c>
      <c r="G303" s="599">
        <f>('Pivot Table for Data Exchange'!$L$451)*100</f>
        <v>5.3563490449325988</v>
      </c>
      <c r="H303" s="597">
        <f>('Pivot Table for Data Exchange'!$L$454)*100</f>
        <v>0.14960394539455993</v>
      </c>
      <c r="I303" s="102"/>
      <c r="J303" s="119"/>
      <c r="K303" s="119"/>
      <c r="L303" s="119"/>
      <c r="M303" s="119"/>
      <c r="N303" s="119"/>
      <c r="O303" s="119"/>
      <c r="P303" s="119"/>
      <c r="Q303" s="602">
        <f t="shared" si="39"/>
        <v>99.999999999999986</v>
      </c>
      <c r="R303" s="135"/>
      <c r="S303" s="136"/>
      <c r="T303" s="136"/>
      <c r="U303" s="136"/>
      <c r="V303" s="136"/>
      <c r="W303" s="136"/>
      <c r="X303" s="136"/>
      <c r="Y303" s="136"/>
      <c r="Z303" s="136"/>
      <c r="AA303" s="136"/>
      <c r="AB303" s="136"/>
      <c r="AC303" s="136"/>
      <c r="AD303" s="136"/>
      <c r="AE303" s="136"/>
      <c r="AF303" s="136"/>
      <c r="AG303" s="136"/>
      <c r="AH303" s="136"/>
      <c r="AI303" s="136"/>
      <c r="AJ303" s="136"/>
      <c r="AK303" s="136"/>
      <c r="AL303" s="136"/>
      <c r="AM303" s="136"/>
      <c r="AN303" s="136"/>
      <c r="AO303" s="136"/>
    </row>
    <row r="304" spans="1:41" ht="15.75" customHeight="1">
      <c r="A304" s="102" t="s">
        <v>188</v>
      </c>
      <c r="B304" s="597">
        <f>('Pivot Table for Data Exchange'!$L$475)*100</f>
        <v>73.671171509986848</v>
      </c>
      <c r="C304" s="597">
        <f>('Pivot Table for Data Exchange'!$L$478)*100</f>
        <v>8.73976728803013</v>
      </c>
      <c r="D304" s="603">
        <f>SUM(E304:G304)</f>
        <v>17.589061201983021</v>
      </c>
      <c r="E304" s="597">
        <f>('Pivot Table for Data Exchange'!$L$481)*100</f>
        <v>16.988635358942506</v>
      </c>
      <c r="F304" s="597">
        <f>('Pivot Table for Data Exchange'!$L$484)*100</f>
        <v>5.7050615992699637E-2</v>
      </c>
      <c r="G304" s="599">
        <f>('Pivot Table for Data Exchange'!$L$487)*100</f>
        <v>0.54337522704781582</v>
      </c>
      <c r="H304" s="597">
        <f>('Pivot Table for Data Exchange'!$L$490)*100</f>
        <v>0</v>
      </c>
      <c r="I304" s="102"/>
      <c r="J304" s="119"/>
      <c r="K304" s="119"/>
      <c r="L304" s="119"/>
      <c r="M304" s="119"/>
      <c r="N304" s="119"/>
      <c r="O304" s="119"/>
      <c r="P304" s="119"/>
      <c r="Q304" s="602">
        <f t="shared" si="39"/>
        <v>100</v>
      </c>
      <c r="R304" s="135"/>
      <c r="S304" s="136"/>
      <c r="T304" s="136"/>
      <c r="U304" s="136"/>
      <c r="V304" s="136"/>
      <c r="W304" s="136"/>
      <c r="X304" s="136"/>
      <c r="Y304" s="136"/>
      <c r="Z304" s="136"/>
      <c r="AA304" s="136"/>
      <c r="AB304" s="136"/>
      <c r="AC304" s="136"/>
      <c r="AD304" s="136"/>
      <c r="AE304" s="136"/>
      <c r="AF304" s="136"/>
      <c r="AG304" s="136"/>
      <c r="AH304" s="136"/>
      <c r="AI304" s="136"/>
      <c r="AJ304" s="136"/>
      <c r="AK304" s="136"/>
      <c r="AL304" s="136"/>
      <c r="AM304" s="136"/>
      <c r="AN304" s="136"/>
      <c r="AO304" s="136"/>
    </row>
    <row r="305" spans="1:41" ht="15.75" customHeight="1">
      <c r="A305" s="102" t="s">
        <v>189</v>
      </c>
      <c r="B305" s="597">
        <f>('Pivot Table for Data Exchange'!$L$511)*100</f>
        <v>69.934961638374801</v>
      </c>
      <c r="C305" s="597">
        <f>('Pivot Table for Data Exchange'!$L$514)*100</f>
        <v>6.4030934727940592</v>
      </c>
      <c r="D305" s="603">
        <f>SUM(E305:G305)</f>
        <v>23.66194488883114</v>
      </c>
      <c r="E305" s="597">
        <f>('Pivot Table for Data Exchange'!$L$517)*100</f>
        <v>23.40844145239107</v>
      </c>
      <c r="F305" s="597">
        <f>('Pivot Table for Data Exchange'!$L$520)*100</f>
        <v>0.25350343644007006</v>
      </c>
      <c r="G305" s="599">
        <f>('Pivot Table for Data Exchange'!$L$523)*100</f>
        <v>0</v>
      </c>
      <c r="H305" s="597">
        <f>('Pivot Table for Data Exchange'!$L$526)*100</f>
        <v>0</v>
      </c>
      <c r="I305" s="102"/>
      <c r="J305" s="119"/>
      <c r="K305" s="119"/>
      <c r="L305" s="119"/>
      <c r="M305" s="119"/>
      <c r="N305" s="119"/>
      <c r="O305" s="119"/>
      <c r="P305" s="119"/>
      <c r="Q305" s="602">
        <f t="shared" si="39"/>
        <v>100</v>
      </c>
      <c r="R305" s="135"/>
      <c r="S305" s="136"/>
      <c r="T305" s="136"/>
      <c r="U305" s="136"/>
      <c r="V305" s="136"/>
      <c r="W305" s="136"/>
      <c r="X305" s="136"/>
      <c r="Y305" s="136"/>
      <c r="Z305" s="136"/>
      <c r="AA305" s="136"/>
      <c r="AB305" s="136"/>
      <c r="AC305" s="136"/>
      <c r="AD305" s="136"/>
      <c r="AE305" s="136"/>
      <c r="AF305" s="136"/>
      <c r="AG305" s="136"/>
      <c r="AH305" s="136"/>
      <c r="AI305" s="136"/>
      <c r="AJ305" s="136"/>
      <c r="AK305" s="136"/>
      <c r="AL305" s="136"/>
      <c r="AM305" s="136"/>
      <c r="AN305" s="136"/>
      <c r="AO305" s="136"/>
    </row>
    <row r="306" spans="1:41" ht="15.75" customHeight="1">
      <c r="A306" s="76" t="s">
        <v>190</v>
      </c>
      <c r="B306" s="600">
        <f>('Pivot Table for Data Exchange'!$L$547)*100</f>
        <v>0</v>
      </c>
      <c r="C306" s="600">
        <f>('Pivot Table for Data Exchange'!$L$550)*100</f>
        <v>0</v>
      </c>
      <c r="D306" s="604">
        <f>SUM(E306:G306)</f>
        <v>0</v>
      </c>
      <c r="E306" s="600">
        <f>('Pivot Table for Data Exchange'!$L$553)*100</f>
        <v>0</v>
      </c>
      <c r="F306" s="600">
        <f>('Pivot Table for Data Exchange'!$L$556)*100</f>
        <v>0</v>
      </c>
      <c r="G306" s="601">
        <f>('Pivot Table for Data Exchange'!$L$559)*100</f>
        <v>0</v>
      </c>
      <c r="H306" s="600">
        <f>('Pivot Table for Data Exchange'!$L$562)*100</f>
        <v>0</v>
      </c>
      <c r="I306" s="102"/>
      <c r="J306" s="119"/>
      <c r="K306" s="119"/>
      <c r="L306" s="119"/>
      <c r="M306" s="119"/>
      <c r="N306" s="119"/>
      <c r="O306" s="119"/>
      <c r="P306" s="119"/>
      <c r="Q306" s="602">
        <f t="shared" si="39"/>
        <v>0</v>
      </c>
      <c r="R306" s="135"/>
      <c r="S306" s="136"/>
      <c r="T306" s="136"/>
      <c r="U306" s="136"/>
      <c r="V306" s="136"/>
      <c r="W306" s="136"/>
      <c r="X306" s="136"/>
      <c r="Y306" s="136"/>
      <c r="Z306" s="136"/>
      <c r="AA306" s="136"/>
      <c r="AB306" s="136"/>
      <c r="AC306" s="136"/>
      <c r="AD306" s="136"/>
      <c r="AE306" s="136"/>
      <c r="AF306" s="136"/>
      <c r="AG306" s="136"/>
      <c r="AH306" s="136"/>
      <c r="AI306" s="136"/>
      <c r="AJ306" s="136"/>
      <c r="AK306" s="136"/>
      <c r="AL306" s="136"/>
      <c r="AM306" s="136"/>
      <c r="AN306" s="136"/>
      <c r="AO306" s="136"/>
    </row>
    <row r="307" spans="1:41" s="141" customFormat="1" ht="18" customHeight="1">
      <c r="A307" s="43" t="s">
        <v>219</v>
      </c>
      <c r="B307" s="106"/>
      <c r="C307" s="106"/>
      <c r="D307" s="107"/>
      <c r="E307" s="106"/>
      <c r="F307" s="107"/>
      <c r="G307" s="107"/>
      <c r="H307" s="106"/>
      <c r="I307" s="43"/>
      <c r="J307" s="106"/>
      <c r="K307" s="106"/>
      <c r="L307" s="107"/>
      <c r="M307" s="106"/>
      <c r="N307" s="107"/>
      <c r="O307" s="107"/>
      <c r="P307" s="106"/>
      <c r="Q307" s="602">
        <f t="shared" si="39"/>
        <v>0</v>
      </c>
      <c r="R307" s="139"/>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row>
    <row r="308" spans="1:41" s="141" customFormat="1" ht="30" customHeight="1">
      <c r="A308" s="655" t="s">
        <v>225</v>
      </c>
      <c r="B308" s="657"/>
      <c r="C308" s="657"/>
      <c r="D308" s="657"/>
      <c r="E308" s="657"/>
      <c r="F308" s="657"/>
      <c r="G308" s="657"/>
      <c r="H308" s="657"/>
      <c r="I308" s="43"/>
      <c r="J308" s="45"/>
      <c r="K308" s="45"/>
      <c r="L308" s="45"/>
      <c r="M308" s="45"/>
      <c r="N308" s="45"/>
      <c r="O308" s="45"/>
      <c r="P308" s="115"/>
      <c r="Q308" s="602">
        <f t="shared" si="39"/>
        <v>0</v>
      </c>
      <c r="R308" s="144"/>
    </row>
    <row r="309" spans="1:41" s="141" customFormat="1" ht="13.5" customHeight="1">
      <c r="A309" s="113"/>
      <c r="B309" s="45"/>
      <c r="C309" s="45"/>
      <c r="D309" s="45"/>
      <c r="E309" s="45"/>
      <c r="F309" s="45"/>
      <c r="G309" s="45"/>
      <c r="H309" s="47"/>
      <c r="I309" s="113"/>
      <c r="J309" s="45"/>
      <c r="K309" s="45"/>
      <c r="L309" s="45"/>
      <c r="M309" s="45"/>
      <c r="N309" s="45"/>
      <c r="O309" s="45"/>
      <c r="P309" s="45"/>
      <c r="Q309" s="602">
        <f t="shared" si="39"/>
        <v>0</v>
      </c>
      <c r="R309" s="144"/>
    </row>
    <row r="310" spans="1:41" s="141" customFormat="1">
      <c r="A310" s="47"/>
      <c r="B310" s="45"/>
      <c r="C310" s="45"/>
      <c r="D310" s="45"/>
      <c r="E310" s="45"/>
      <c r="F310" s="45"/>
      <c r="G310" s="45"/>
      <c r="H310" s="49" t="s">
        <v>900</v>
      </c>
      <c r="I310" s="123"/>
      <c r="J310" s="47"/>
      <c r="K310" s="47"/>
      <c r="L310" s="47"/>
      <c r="M310" s="47"/>
      <c r="N310" s="47"/>
      <c r="O310" s="47"/>
      <c r="P310" s="47"/>
      <c r="Q310" s="602">
        <f t="shared" si="39"/>
        <v>0</v>
      </c>
      <c r="R310" s="144"/>
    </row>
    <row r="311" spans="1:41" ht="18">
      <c r="A311" s="16" t="s">
        <v>275</v>
      </c>
      <c r="B311" s="71"/>
      <c r="C311" s="71"/>
      <c r="D311" s="71"/>
      <c r="E311" s="71"/>
      <c r="F311" s="71"/>
      <c r="G311" s="71"/>
      <c r="H311" s="72"/>
      <c r="I311" s="118"/>
      <c r="J311" s="102"/>
      <c r="K311" s="102"/>
      <c r="L311" s="102"/>
      <c r="M311" s="102"/>
      <c r="N311" s="102"/>
      <c r="O311" s="102"/>
      <c r="P311" s="102"/>
      <c r="Q311" s="602">
        <f t="shared" si="39"/>
        <v>0</v>
      </c>
    </row>
    <row r="312" spans="1:41">
      <c r="A312" s="22"/>
      <c r="B312" s="23"/>
      <c r="C312" s="23"/>
      <c r="D312" s="23"/>
      <c r="E312" s="23"/>
      <c r="F312" s="23"/>
      <c r="G312" s="23"/>
      <c r="H312" s="73"/>
      <c r="I312" s="118"/>
      <c r="J312" s="102"/>
      <c r="K312" s="102"/>
      <c r="L312" s="102"/>
      <c r="M312" s="102"/>
      <c r="N312" s="102"/>
      <c r="O312" s="102"/>
      <c r="P312" s="102"/>
      <c r="Q312" s="602">
        <f t="shared" si="39"/>
        <v>0</v>
      </c>
    </row>
    <row r="313" spans="1:41" ht="15.75">
      <c r="A313" s="74" t="s">
        <v>205</v>
      </c>
      <c r="B313" s="23"/>
      <c r="C313" s="23"/>
      <c r="D313" s="23"/>
      <c r="E313" s="23"/>
      <c r="F313" s="23"/>
      <c r="G313" s="23"/>
      <c r="H313" s="73"/>
      <c r="I313" s="118"/>
      <c r="J313" s="102"/>
      <c r="K313" s="102"/>
      <c r="L313" s="102"/>
      <c r="M313" s="102"/>
      <c r="N313" s="102"/>
      <c r="O313" s="102"/>
      <c r="P313" s="102"/>
      <c r="Q313" s="602">
        <f t="shared" si="39"/>
        <v>0</v>
      </c>
    </row>
    <row r="314" spans="1:41" ht="15.75">
      <c r="A314" s="74" t="s">
        <v>891</v>
      </c>
      <c r="B314" s="23"/>
      <c r="C314" s="23"/>
      <c r="D314" s="23"/>
      <c r="E314" s="23"/>
      <c r="F314" s="23"/>
      <c r="G314" s="23"/>
      <c r="H314" s="73"/>
      <c r="I314" s="118"/>
      <c r="J314" s="102"/>
      <c r="K314" s="102"/>
      <c r="L314" s="102"/>
      <c r="M314" s="102"/>
      <c r="N314" s="102"/>
      <c r="O314" s="102"/>
      <c r="P314" s="102"/>
      <c r="Q314" s="602">
        <f t="shared" si="39"/>
        <v>0</v>
      </c>
    </row>
    <row r="315" spans="1:41">
      <c r="A315" s="76"/>
      <c r="B315" s="77"/>
      <c r="C315" s="77"/>
      <c r="D315" s="77"/>
      <c r="E315" s="77"/>
      <c r="F315" s="77"/>
      <c r="G315" s="77"/>
      <c r="H315" s="77"/>
      <c r="I315" s="118"/>
      <c r="J315" s="102"/>
      <c r="K315" s="102"/>
      <c r="L315" s="102"/>
      <c r="M315" s="102"/>
      <c r="N315" s="102"/>
      <c r="O315" s="102"/>
      <c r="P315" s="102"/>
      <c r="Q315" s="602">
        <f t="shared" si="39"/>
        <v>0</v>
      </c>
    </row>
    <row r="316" spans="1:41">
      <c r="A316" s="80"/>
      <c r="B316" s="81" t="s">
        <v>207</v>
      </c>
      <c r="C316" s="81"/>
      <c r="D316" s="81"/>
      <c r="E316" s="81"/>
      <c r="F316" s="81"/>
      <c r="G316" s="81"/>
      <c r="H316" s="82"/>
      <c r="I316" s="118"/>
      <c r="J316" s="102"/>
      <c r="K316" s="102"/>
      <c r="L316" s="102"/>
      <c r="M316" s="102"/>
      <c r="N316" s="102"/>
      <c r="O316" s="102"/>
      <c r="P316" s="102"/>
      <c r="Q316" s="602">
        <f t="shared" si="39"/>
        <v>0</v>
      </c>
    </row>
    <row r="317" spans="1:41">
      <c r="A317" s="80"/>
      <c r="B317" s="81" t="s">
        <v>208</v>
      </c>
      <c r="C317" s="81"/>
      <c r="D317" s="653" t="s">
        <v>209</v>
      </c>
      <c r="E317" s="654"/>
      <c r="F317" s="654"/>
      <c r="G317" s="654"/>
      <c r="H317" s="86" t="s">
        <v>39</v>
      </c>
      <c r="I317" s="118"/>
      <c r="J317" s="102"/>
      <c r="K317" s="102"/>
      <c r="L317" s="102"/>
      <c r="M317" s="102"/>
      <c r="N317" s="102"/>
      <c r="O317" s="102"/>
      <c r="P317" s="102"/>
      <c r="Q317" s="602">
        <f t="shared" si="39"/>
        <v>0</v>
      </c>
    </row>
    <row r="318" spans="1:41" ht="36">
      <c r="A318" s="80"/>
      <c r="B318" s="87" t="s">
        <v>210</v>
      </c>
      <c r="C318" s="88" t="s">
        <v>211</v>
      </c>
      <c r="D318" s="89" t="s">
        <v>212</v>
      </c>
      <c r="E318" s="90" t="s">
        <v>7</v>
      </c>
      <c r="F318" s="87" t="s">
        <v>213</v>
      </c>
      <c r="G318" s="91" t="s">
        <v>214</v>
      </c>
      <c r="H318" s="92" t="s">
        <v>215</v>
      </c>
      <c r="I318" s="118"/>
      <c r="J318" s="102"/>
      <c r="K318" s="102"/>
      <c r="L318" s="102"/>
      <c r="M318" s="102"/>
      <c r="N318" s="102"/>
      <c r="O318" s="102"/>
      <c r="P318" s="102"/>
      <c r="Q318" s="602">
        <f t="shared" si="39"/>
        <v>0</v>
      </c>
    </row>
    <row r="319" spans="1:41" ht="15.75" customHeight="1">
      <c r="A319" s="99" t="s">
        <v>175</v>
      </c>
      <c r="B319" s="120">
        <f>('Pivot Table for Data Exchange'!$M$7)*100</f>
        <v>64.48819356246419</v>
      </c>
      <c r="C319" s="597">
        <f>('Pivot Table for Data Exchange'!$M$10)*100</f>
        <v>20.64698738728401</v>
      </c>
      <c r="D319" s="603">
        <f>SUM(E319:G319)</f>
        <v>14.864210538211513</v>
      </c>
      <c r="E319" s="597">
        <f>('Pivot Table for Data Exchange'!$M$13)*100</f>
        <v>13.507141758095601</v>
      </c>
      <c r="F319" s="597">
        <f>('Pivot Table for Data Exchange'!$M$16)*100</f>
        <v>0.43760708725280284</v>
      </c>
      <c r="G319" s="97">
        <f>('Pivot Table for Data Exchange'!$M$19)*100</f>
        <v>0.91946169286310997</v>
      </c>
      <c r="H319" s="98">
        <f>('Pivot Table for Data Exchange'!$M$22)*100</f>
        <v>6.0851204028001984E-4</v>
      </c>
      <c r="I319" s="102"/>
      <c r="J319" s="119"/>
      <c r="K319" s="119"/>
      <c r="L319" s="119"/>
      <c r="M319" s="119"/>
      <c r="N319" s="119"/>
      <c r="O319" s="119"/>
      <c r="P319" s="119"/>
      <c r="Q319" s="602">
        <f t="shared" si="39"/>
        <v>99.999999999999986</v>
      </c>
      <c r="R319" s="135"/>
      <c r="S319" s="136"/>
      <c r="T319" s="136"/>
      <c r="U319" s="136"/>
      <c r="V319" s="136"/>
      <c r="W319" s="136"/>
      <c r="X319" s="136"/>
      <c r="Y319" s="136"/>
      <c r="Z319" s="136"/>
      <c r="AA319" s="136"/>
      <c r="AB319" s="136"/>
      <c r="AC319" s="136"/>
      <c r="AD319" s="136"/>
      <c r="AE319" s="136"/>
      <c r="AF319" s="136"/>
      <c r="AG319" s="136"/>
      <c r="AH319" s="136"/>
      <c r="AI319" s="136"/>
      <c r="AJ319" s="136"/>
      <c r="AK319" s="136"/>
      <c r="AL319" s="136"/>
      <c r="AM319" s="136"/>
      <c r="AN319" s="136"/>
      <c r="AO319" s="136"/>
    </row>
    <row r="320" spans="1:41" ht="15.75" customHeight="1">
      <c r="A320" s="102" t="s">
        <v>176</v>
      </c>
      <c r="B320" s="597">
        <f>('Pivot Table for Data Exchange'!$M$43)*100</f>
        <v>77.386413705517981</v>
      </c>
      <c r="C320" s="597">
        <f>('Pivot Table for Data Exchange'!$M$46)*100</f>
        <v>4.7186584765311146</v>
      </c>
      <c r="D320" s="603">
        <f t="shared" ref="D320:D322" si="42">SUM(E320:G320)</f>
        <v>17.894927817950911</v>
      </c>
      <c r="E320" s="597">
        <f>('Pivot Table for Data Exchange'!$M$49)*100</f>
        <v>17.894927817950911</v>
      </c>
      <c r="F320" s="597">
        <f>('Pivot Table for Data Exchange'!$M$52)*100</f>
        <v>0</v>
      </c>
      <c r="G320" s="599">
        <f>('Pivot Table for Data Exchange'!$M$55)*100</f>
        <v>0</v>
      </c>
      <c r="H320" s="597">
        <f>('Pivot Table for Data Exchange'!$M$58)*100</f>
        <v>0</v>
      </c>
      <c r="I320" s="102"/>
      <c r="J320" s="119"/>
      <c r="K320" s="119"/>
      <c r="L320" s="119"/>
      <c r="M320" s="119"/>
      <c r="N320" s="119"/>
      <c r="O320" s="119"/>
      <c r="P320" s="119"/>
      <c r="Q320" s="602">
        <f t="shared" si="39"/>
        <v>100.00000000000001</v>
      </c>
      <c r="R320" s="135"/>
      <c r="S320" s="136"/>
      <c r="T320" s="136"/>
      <c r="U320" s="136"/>
      <c r="V320" s="136"/>
      <c r="W320" s="136"/>
      <c r="X320" s="136"/>
      <c r="Y320" s="136"/>
      <c r="Z320" s="136"/>
      <c r="AA320" s="136"/>
      <c r="AB320" s="136"/>
      <c r="AC320" s="136"/>
      <c r="AD320" s="136"/>
      <c r="AE320" s="136"/>
      <c r="AF320" s="136"/>
      <c r="AG320" s="136"/>
      <c r="AH320" s="136"/>
      <c r="AI320" s="136"/>
      <c r="AJ320" s="136"/>
      <c r="AK320" s="136"/>
      <c r="AL320" s="136"/>
      <c r="AM320" s="136"/>
      <c r="AN320" s="136"/>
      <c r="AO320" s="136"/>
    </row>
    <row r="321" spans="1:41" ht="15.75" customHeight="1">
      <c r="A321" s="102" t="s">
        <v>177</v>
      </c>
      <c r="B321" s="597">
        <f>('Pivot Table for Data Exchange'!$M$79)*100</f>
        <v>80.962476505862341</v>
      </c>
      <c r="C321" s="597">
        <f>('Pivot Table for Data Exchange'!$M$82)*100</f>
        <v>0</v>
      </c>
      <c r="D321" s="603">
        <f t="shared" si="42"/>
        <v>19.037523494137652</v>
      </c>
      <c r="E321" s="597">
        <f>('Pivot Table for Data Exchange'!$M$85)*100</f>
        <v>13.473887944151079</v>
      </c>
      <c r="F321" s="597">
        <f>('Pivot Table for Data Exchange'!$M$88)*100</f>
        <v>0.28528595721829408</v>
      </c>
      <c r="G321" s="599">
        <f>('Pivot Table for Data Exchange'!$M$91)*100</f>
        <v>5.2783495927682802</v>
      </c>
      <c r="H321" s="597">
        <f>('Pivot Table for Data Exchange'!$M$94)*100</f>
        <v>0</v>
      </c>
      <c r="I321" s="102"/>
      <c r="J321" s="119"/>
      <c r="K321" s="119"/>
      <c r="L321" s="119"/>
      <c r="M321" s="119"/>
      <c r="N321" s="119"/>
      <c r="O321" s="119"/>
      <c r="P321" s="119"/>
      <c r="Q321" s="602">
        <f t="shared" si="39"/>
        <v>100</v>
      </c>
      <c r="R321" s="135"/>
      <c r="S321" s="136"/>
      <c r="T321" s="142"/>
      <c r="U321" s="136"/>
      <c r="V321" s="136"/>
      <c r="W321" s="136"/>
      <c r="X321" s="136"/>
      <c r="Y321" s="136"/>
      <c r="Z321" s="136"/>
      <c r="AA321" s="136"/>
      <c r="AB321" s="136"/>
      <c r="AC321" s="136"/>
      <c r="AD321" s="136"/>
      <c r="AE321" s="136"/>
      <c r="AF321" s="136"/>
      <c r="AG321" s="136"/>
      <c r="AH321" s="136"/>
      <c r="AI321" s="136"/>
      <c r="AJ321" s="136"/>
      <c r="AK321" s="136"/>
      <c r="AL321" s="136"/>
      <c r="AM321" s="136"/>
      <c r="AN321" s="136"/>
      <c r="AO321" s="136"/>
    </row>
    <row r="322" spans="1:41" ht="15.75" customHeight="1">
      <c r="A322" s="102" t="s">
        <v>217</v>
      </c>
      <c r="B322" s="597">
        <f>('Pivot Table for Data Exchange'!$M$115)*100</f>
        <v>61.820933009428913</v>
      </c>
      <c r="C322" s="597">
        <f>('Pivot Table for Data Exchange'!$M$118)*100</f>
        <v>5.4094783217359081</v>
      </c>
      <c r="D322" s="603">
        <f t="shared" si="42"/>
        <v>31.502038127393256</v>
      </c>
      <c r="E322" s="597">
        <f>('Pivot Table for Data Exchange'!$M$121)*100</f>
        <v>20.319718367851113</v>
      </c>
      <c r="F322" s="597">
        <f>('Pivot Table for Data Exchange'!$M$124)*100</f>
        <v>1.0575616585004324</v>
      </c>
      <c r="G322" s="599">
        <f>('Pivot Table for Data Exchange'!$M$127)*100</f>
        <v>10.12475810104171</v>
      </c>
      <c r="H322" s="597">
        <f>('Pivot Table for Data Exchange'!$M$130)*100</f>
        <v>1.2675505414419237</v>
      </c>
      <c r="I322" s="102"/>
      <c r="J322" s="119"/>
      <c r="K322" s="119"/>
      <c r="L322" s="119"/>
      <c r="M322" s="119"/>
      <c r="N322" s="119"/>
      <c r="O322" s="119"/>
      <c r="P322" s="119"/>
      <c r="Q322" s="602">
        <f t="shared" si="39"/>
        <v>100</v>
      </c>
      <c r="R322" s="135"/>
      <c r="S322" s="136"/>
      <c r="U322" s="136"/>
      <c r="V322" s="136"/>
      <c r="W322" s="136"/>
      <c r="X322" s="136"/>
      <c r="Y322" s="136"/>
      <c r="Z322" s="136"/>
      <c r="AA322" s="136"/>
      <c r="AB322" s="136"/>
      <c r="AC322" s="136"/>
      <c r="AD322" s="136"/>
      <c r="AE322" s="136"/>
      <c r="AF322" s="136"/>
      <c r="AG322" s="136"/>
      <c r="AH322" s="136"/>
      <c r="AI322" s="136"/>
      <c r="AJ322" s="136"/>
      <c r="AK322" s="136"/>
      <c r="AL322" s="136"/>
      <c r="AM322" s="136"/>
      <c r="AN322" s="136"/>
      <c r="AO322" s="136"/>
    </row>
    <row r="323" spans="1:41" ht="15.75" customHeight="1">
      <c r="A323" s="102"/>
      <c r="B323" s="597"/>
      <c r="C323" s="597"/>
      <c r="D323" s="603"/>
      <c r="E323" s="597"/>
      <c r="F323" s="597"/>
      <c r="G323" s="599"/>
      <c r="H323" s="597"/>
      <c r="I323" s="102"/>
      <c r="J323" s="119"/>
      <c r="K323" s="119"/>
      <c r="L323" s="119"/>
      <c r="M323" s="119"/>
      <c r="N323" s="119"/>
      <c r="O323" s="119"/>
      <c r="P323" s="119"/>
      <c r="Q323" s="602">
        <f t="shared" si="39"/>
        <v>0</v>
      </c>
      <c r="R323" s="135"/>
      <c r="S323" s="136"/>
      <c r="U323" s="136"/>
      <c r="V323" s="136"/>
      <c r="W323" s="136"/>
      <c r="X323" s="136"/>
      <c r="Y323" s="136"/>
      <c r="Z323" s="136"/>
      <c r="AA323" s="136"/>
      <c r="AB323" s="136"/>
      <c r="AC323" s="136"/>
      <c r="AD323" s="136"/>
      <c r="AE323" s="136"/>
      <c r="AF323" s="136"/>
      <c r="AG323" s="136"/>
      <c r="AH323" s="136"/>
      <c r="AI323" s="136"/>
      <c r="AJ323" s="136"/>
      <c r="AK323" s="136"/>
      <c r="AL323" s="136"/>
      <c r="AM323" s="136"/>
      <c r="AN323" s="136"/>
      <c r="AO323" s="136"/>
    </row>
    <row r="324" spans="1:41" ht="15.75" customHeight="1">
      <c r="A324" s="102" t="s">
        <v>179</v>
      </c>
      <c r="B324" s="597">
        <f>('Pivot Table for Data Exchange'!$M$151)*100</f>
        <v>0</v>
      </c>
      <c r="C324" s="597">
        <f>('Pivot Table for Data Exchange'!$M$154)*100</f>
        <v>0</v>
      </c>
      <c r="D324" s="603">
        <f t="shared" ref="D324:D325" si="43">SUM(E324:G324)</f>
        <v>0</v>
      </c>
      <c r="E324" s="597">
        <f>('Pivot Table for Data Exchange'!$M$157)*100</f>
        <v>0</v>
      </c>
      <c r="F324" s="597">
        <f>('Pivot Table for Data Exchange'!$M$160)*100</f>
        <v>0</v>
      </c>
      <c r="G324" s="599">
        <f>('Pivot Table for Data Exchange'!$M$163)*100</f>
        <v>0</v>
      </c>
      <c r="H324" s="597">
        <f>('Pivot Table for Data Exchange'!$M$166)*100</f>
        <v>0</v>
      </c>
      <c r="I324" s="102"/>
      <c r="J324" s="119"/>
      <c r="K324" s="119"/>
      <c r="L324" s="119"/>
      <c r="M324" s="119"/>
      <c r="N324" s="119"/>
      <c r="O324" s="119"/>
      <c r="P324" s="119"/>
      <c r="Q324" s="602">
        <f t="shared" si="39"/>
        <v>0</v>
      </c>
      <c r="R324" s="135"/>
      <c r="S324" s="136"/>
      <c r="T324" s="136"/>
      <c r="U324" s="136"/>
      <c r="V324" s="136"/>
      <c r="W324" s="136"/>
      <c r="X324" s="136"/>
      <c r="Y324" s="136"/>
      <c r="Z324" s="136"/>
      <c r="AA324" s="136"/>
      <c r="AB324" s="136"/>
      <c r="AC324" s="136"/>
      <c r="AD324" s="136"/>
      <c r="AE324" s="136"/>
      <c r="AF324" s="136"/>
      <c r="AG324" s="136"/>
      <c r="AH324" s="136"/>
      <c r="AI324" s="136"/>
      <c r="AJ324" s="136"/>
      <c r="AK324" s="136"/>
      <c r="AL324" s="136"/>
      <c r="AM324" s="136"/>
      <c r="AN324" s="136"/>
      <c r="AO324" s="136"/>
    </row>
    <row r="325" spans="1:41" ht="15.75" customHeight="1">
      <c r="A325" s="102" t="s">
        <v>180</v>
      </c>
      <c r="B325" s="597">
        <f>('Pivot Table for Data Exchange'!$M$187)*100</f>
        <v>61.009883371502426</v>
      </c>
      <c r="C325" s="597">
        <f>('Pivot Table for Data Exchange'!$M$190)*100</f>
        <v>7.4646755889365952</v>
      </c>
      <c r="D325" s="603">
        <f t="shared" si="43"/>
        <v>31.525441039560981</v>
      </c>
      <c r="E325" s="597">
        <f>('Pivot Table for Data Exchange'!$M$193)*100</f>
        <v>30.363968118663308</v>
      </c>
      <c r="F325" s="597">
        <f>('Pivot Table for Data Exchange'!$M$196)*100</f>
        <v>1.1614729208976742</v>
      </c>
      <c r="G325" s="599">
        <f>('Pivot Table for Data Exchange'!$M$199)*100</f>
        <v>0</v>
      </c>
      <c r="H325" s="597">
        <f>('Pivot Table for Data Exchange'!$M$202)*100</f>
        <v>0</v>
      </c>
      <c r="I325" s="102"/>
      <c r="J325" s="119"/>
      <c r="K325" s="119"/>
      <c r="L325" s="119"/>
      <c r="M325" s="119"/>
      <c r="N325" s="119"/>
      <c r="O325" s="119"/>
      <c r="P325" s="119"/>
      <c r="Q325" s="602">
        <f t="shared" si="39"/>
        <v>100</v>
      </c>
      <c r="R325" s="135"/>
      <c r="S325" s="136"/>
      <c r="T325" s="136"/>
      <c r="U325" s="136"/>
      <c r="V325" s="136"/>
      <c r="W325" s="136"/>
      <c r="X325" s="136"/>
      <c r="Y325" s="136"/>
      <c r="Z325" s="136"/>
      <c r="AA325" s="136"/>
      <c r="AB325" s="136"/>
      <c r="AC325" s="136"/>
      <c r="AD325" s="136"/>
      <c r="AE325" s="136"/>
      <c r="AF325" s="136"/>
      <c r="AG325" s="136"/>
      <c r="AH325" s="136"/>
      <c r="AI325" s="136"/>
      <c r="AJ325" s="136"/>
      <c r="AK325" s="136"/>
      <c r="AL325" s="136"/>
      <c r="AM325" s="136"/>
      <c r="AN325" s="136"/>
      <c r="AO325" s="136"/>
    </row>
    <row r="326" spans="1:41" ht="15.75" customHeight="1">
      <c r="A326" s="102" t="s">
        <v>181</v>
      </c>
      <c r="B326" s="597">
        <f>('Pivot Table for Data Exchange'!$M$223)*100</f>
        <v>0</v>
      </c>
      <c r="C326" s="597">
        <f>('Pivot Table for Data Exchange'!$M$226)*100</f>
        <v>0</v>
      </c>
      <c r="D326" s="603">
        <f>SUM(E326:G326)</f>
        <v>0</v>
      </c>
      <c r="E326" s="597">
        <f>('Pivot Table for Data Exchange'!$M$229)*100</f>
        <v>0</v>
      </c>
      <c r="F326" s="597">
        <f>('Pivot Table for Data Exchange'!$M$232)*100</f>
        <v>0</v>
      </c>
      <c r="G326" s="599">
        <f>('Pivot Table for Data Exchange'!$M$235)*100</f>
        <v>0</v>
      </c>
      <c r="H326" s="597">
        <f>('Pivot Table for Data Exchange'!$M$238)*100</f>
        <v>0</v>
      </c>
      <c r="I326" s="102"/>
      <c r="J326" s="119"/>
      <c r="K326" s="119"/>
      <c r="L326" s="119"/>
      <c r="M326" s="119"/>
      <c r="N326" s="119"/>
      <c r="O326" s="119"/>
      <c r="P326" s="119"/>
      <c r="Q326" s="602">
        <f t="shared" si="39"/>
        <v>0</v>
      </c>
      <c r="R326" s="135"/>
      <c r="S326" s="136"/>
      <c r="T326" s="142"/>
      <c r="U326" s="136"/>
      <c r="V326" s="136"/>
      <c r="W326" s="136"/>
      <c r="X326" s="136"/>
      <c r="Y326" s="136"/>
      <c r="Z326" s="136"/>
      <c r="AA326" s="136"/>
      <c r="AB326" s="136"/>
      <c r="AC326" s="136"/>
      <c r="AD326" s="136"/>
      <c r="AE326" s="136"/>
      <c r="AF326" s="136"/>
      <c r="AG326" s="136"/>
      <c r="AH326" s="136"/>
      <c r="AI326" s="136"/>
      <c r="AJ326" s="136"/>
      <c r="AK326" s="136"/>
      <c r="AL326" s="136"/>
      <c r="AM326" s="136"/>
      <c r="AN326" s="136"/>
      <c r="AO326" s="136"/>
    </row>
    <row r="327" spans="1:41" ht="15.75" customHeight="1">
      <c r="A327" s="102" t="s">
        <v>222</v>
      </c>
      <c r="B327" s="597">
        <f>('Pivot Table for Data Exchange'!$M$259)*100</f>
        <v>80.206658086715748</v>
      </c>
      <c r="C327" s="597">
        <f>('Pivot Table for Data Exchange'!$M$262)*100</f>
        <v>3.9771096766388991</v>
      </c>
      <c r="D327" s="603">
        <f>SUM(E327:G327)</f>
        <v>15.801043707345267</v>
      </c>
      <c r="E327" s="597">
        <f>('Pivot Table for Data Exchange'!$M$265)*100</f>
        <v>15.496601062524991</v>
      </c>
      <c r="F327" s="597">
        <f>('Pivot Table for Data Exchange'!$M$268)*100</f>
        <v>0.30444264482027467</v>
      </c>
      <c r="G327" s="599">
        <f>('Pivot Table for Data Exchange'!$M$271)*100</f>
        <v>0</v>
      </c>
      <c r="H327" s="104">
        <f>('Pivot Table for Data Exchange'!$M$274)*100</f>
        <v>1.5188529300084344E-2</v>
      </c>
      <c r="I327" s="102"/>
      <c r="J327" s="119"/>
      <c r="K327" s="119"/>
      <c r="L327" s="119"/>
      <c r="M327" s="119"/>
      <c r="N327" s="119"/>
      <c r="O327" s="119"/>
      <c r="P327" s="119"/>
      <c r="Q327" s="602">
        <f t="shared" si="39"/>
        <v>100.00000000000001</v>
      </c>
      <c r="R327" s="135"/>
      <c r="S327" s="136"/>
      <c r="U327" s="136"/>
      <c r="V327" s="136"/>
      <c r="W327" s="136"/>
      <c r="X327" s="136"/>
      <c r="Y327" s="136"/>
      <c r="Z327" s="136"/>
      <c r="AA327" s="136"/>
      <c r="AB327" s="136"/>
      <c r="AC327" s="136"/>
      <c r="AD327" s="136"/>
      <c r="AE327" s="136"/>
      <c r="AF327" s="136"/>
      <c r="AG327" s="136"/>
      <c r="AH327" s="136"/>
      <c r="AI327" s="136"/>
      <c r="AJ327" s="136"/>
      <c r="AK327" s="136"/>
      <c r="AL327" s="136"/>
      <c r="AM327" s="136"/>
      <c r="AN327" s="136"/>
      <c r="AO327" s="136"/>
    </row>
    <row r="328" spans="1:41" ht="12" customHeight="1">
      <c r="A328" s="102"/>
      <c r="B328" s="597"/>
      <c r="C328" s="597"/>
      <c r="D328" s="603"/>
      <c r="E328" s="597"/>
      <c r="F328" s="597"/>
      <c r="G328" s="599"/>
      <c r="H328" s="597"/>
      <c r="I328" s="102"/>
      <c r="J328" s="119"/>
      <c r="K328" s="119"/>
      <c r="L328" s="119"/>
      <c r="M328" s="119"/>
      <c r="N328" s="119"/>
      <c r="O328" s="119"/>
      <c r="P328" s="119"/>
      <c r="Q328" s="602">
        <f t="shared" si="39"/>
        <v>0</v>
      </c>
      <c r="R328" s="135"/>
      <c r="S328" s="136"/>
      <c r="U328" s="136"/>
      <c r="V328" s="136"/>
      <c r="W328" s="136"/>
      <c r="X328" s="136"/>
      <c r="Y328" s="136"/>
      <c r="Z328" s="136"/>
      <c r="AA328" s="136"/>
      <c r="AB328" s="136"/>
      <c r="AC328" s="136"/>
      <c r="AD328" s="136"/>
      <c r="AE328" s="136"/>
      <c r="AF328" s="136"/>
      <c r="AG328" s="136"/>
      <c r="AH328" s="136"/>
      <c r="AI328" s="136"/>
      <c r="AJ328" s="136"/>
      <c r="AK328" s="136"/>
      <c r="AL328" s="136"/>
      <c r="AM328" s="136"/>
      <c r="AN328" s="136"/>
      <c r="AO328" s="136"/>
    </row>
    <row r="329" spans="1:41" ht="15.75" customHeight="1">
      <c r="A329" s="102" t="s">
        <v>224</v>
      </c>
      <c r="B329" s="597">
        <f>('Pivot Table for Data Exchange'!$M$295)*100</f>
        <v>81.53904148318226</v>
      </c>
      <c r="C329" s="597">
        <f>('Pivot Table for Data Exchange'!$M$298)*100</f>
        <v>0</v>
      </c>
      <c r="D329" s="603">
        <f>SUM(E329:G329)</f>
        <v>18.460958516817737</v>
      </c>
      <c r="E329" s="597">
        <f>('Pivot Table for Data Exchange'!$M$301)*100</f>
        <v>18.460958516817737</v>
      </c>
      <c r="F329" s="597">
        <f>('Pivot Table for Data Exchange'!$M$304)*100</f>
        <v>0</v>
      </c>
      <c r="G329" s="599">
        <f>('Pivot Table for Data Exchange'!$M$307)*100</f>
        <v>0</v>
      </c>
      <c r="H329" s="597">
        <f>('Pivot Table for Data Exchange'!$M$310)*100</f>
        <v>0</v>
      </c>
      <c r="I329" s="124"/>
      <c r="J329" s="119"/>
      <c r="K329" s="119"/>
      <c r="L329" s="119"/>
      <c r="M329" s="119"/>
      <c r="N329" s="119"/>
      <c r="O329" s="119"/>
      <c r="P329" s="119"/>
      <c r="Q329" s="602">
        <f t="shared" si="39"/>
        <v>100</v>
      </c>
      <c r="R329" s="135"/>
      <c r="S329" s="136"/>
      <c r="T329" s="136"/>
      <c r="U329" s="136"/>
      <c r="V329" s="136"/>
      <c r="W329" s="136"/>
      <c r="X329" s="136"/>
      <c r="Y329" s="136"/>
      <c r="Z329" s="136"/>
      <c r="AA329" s="136"/>
      <c r="AB329" s="136"/>
      <c r="AC329" s="136"/>
      <c r="AD329" s="136"/>
      <c r="AE329" s="136"/>
      <c r="AF329" s="136"/>
      <c r="AG329" s="136"/>
      <c r="AH329" s="136"/>
      <c r="AI329" s="136"/>
      <c r="AJ329" s="136"/>
      <c r="AK329" s="136"/>
      <c r="AL329" s="136"/>
      <c r="AM329" s="136"/>
      <c r="AN329" s="136"/>
      <c r="AO329" s="136"/>
    </row>
    <row r="330" spans="1:41" ht="15.75" customHeight="1">
      <c r="A330" s="102" t="s">
        <v>184</v>
      </c>
      <c r="B330" s="597">
        <f>('Pivot Table for Data Exchange'!$M$331)*100</f>
        <v>62.272945157606394</v>
      </c>
      <c r="C330" s="597">
        <f>('Pivot Table for Data Exchange'!$M$334)*100</f>
        <v>3.3919464911673955</v>
      </c>
      <c r="D330" s="603">
        <f>SUM(E330:G330)</f>
        <v>34.335108351226197</v>
      </c>
      <c r="E330" s="597">
        <f>('Pivot Table for Data Exchange'!$M$337)*100</f>
        <v>33.554464865722451</v>
      </c>
      <c r="F330" s="597">
        <f>('Pivot Table for Data Exchange'!$M$340)*100</f>
        <v>0.70300962998398475</v>
      </c>
      <c r="G330" s="599">
        <f>('Pivot Table for Data Exchange'!$M$343)*100</f>
        <v>7.763385551976712E-2</v>
      </c>
      <c r="H330" s="597">
        <f>('Pivot Table for Data Exchange'!$M$346)*100</f>
        <v>0</v>
      </c>
      <c r="I330" s="102"/>
      <c r="J330" s="119"/>
      <c r="K330" s="119"/>
      <c r="L330" s="119"/>
      <c r="M330" s="119"/>
      <c r="N330" s="119"/>
      <c r="O330" s="119"/>
      <c r="P330" s="119"/>
      <c r="Q330" s="602">
        <f t="shared" si="39"/>
        <v>99.999999999999986</v>
      </c>
      <c r="R330" s="135"/>
      <c r="S330" s="136"/>
      <c r="T330" s="136"/>
      <c r="U330" s="136"/>
      <c r="V330" s="136"/>
      <c r="W330" s="136"/>
      <c r="X330" s="136"/>
      <c r="Y330" s="136"/>
      <c r="Z330" s="136"/>
      <c r="AA330" s="136"/>
      <c r="AB330" s="136"/>
      <c r="AC330" s="136"/>
      <c r="AD330" s="136"/>
      <c r="AE330" s="136"/>
      <c r="AF330" s="136"/>
      <c r="AG330" s="136"/>
      <c r="AH330" s="136"/>
      <c r="AI330" s="136"/>
      <c r="AJ330" s="136"/>
      <c r="AK330" s="136"/>
      <c r="AL330" s="136"/>
      <c r="AM330" s="136"/>
      <c r="AN330" s="136"/>
      <c r="AO330" s="136"/>
    </row>
    <row r="331" spans="1:41" ht="15.75" customHeight="1">
      <c r="A331" s="102" t="s">
        <v>185</v>
      </c>
      <c r="B331" s="597">
        <f>('Pivot Table for Data Exchange'!$M$367)*100</f>
        <v>68.496634255796565</v>
      </c>
      <c r="C331" s="597">
        <f>('Pivot Table for Data Exchange'!$M$370)*100</f>
        <v>8.134297348957034</v>
      </c>
      <c r="D331" s="603">
        <f>SUM(E331:G331)</f>
        <v>23.369068395246405</v>
      </c>
      <c r="E331" s="597">
        <f>('Pivot Table for Data Exchange'!$M$373)*100</f>
        <v>10.046538685282142</v>
      </c>
      <c r="F331" s="597">
        <f>('Pivot Table for Data Exchange'!$M$376)*100</f>
        <v>13.025845591290617</v>
      </c>
      <c r="G331" s="599">
        <f>('Pivot Table for Data Exchange'!$M$379)*100</f>
        <v>0.29668411867364747</v>
      </c>
      <c r="H331" s="597">
        <f>('Pivot Table for Data Exchange'!$M$382)*100</f>
        <v>0</v>
      </c>
      <c r="I331" s="102"/>
      <c r="J331" s="119"/>
      <c r="K331" s="119"/>
      <c r="L331" s="119"/>
      <c r="M331" s="119"/>
      <c r="N331" s="119"/>
      <c r="O331" s="119"/>
      <c r="P331" s="119"/>
      <c r="Q331" s="602">
        <f t="shared" si="39"/>
        <v>100</v>
      </c>
      <c r="R331" s="135"/>
      <c r="S331" s="136"/>
      <c r="T331" s="142"/>
      <c r="U331" s="136"/>
      <c r="V331" s="136"/>
      <c r="W331" s="136"/>
      <c r="X331" s="136"/>
      <c r="Y331" s="136"/>
      <c r="Z331" s="136"/>
      <c r="AA331" s="136"/>
      <c r="AB331" s="136"/>
      <c r="AC331" s="136"/>
      <c r="AD331" s="136"/>
      <c r="AE331" s="136"/>
      <c r="AF331" s="136"/>
      <c r="AG331" s="136"/>
      <c r="AH331" s="136"/>
      <c r="AI331" s="136"/>
      <c r="AJ331" s="136"/>
      <c r="AK331" s="136"/>
      <c r="AL331" s="136"/>
      <c r="AM331" s="136"/>
      <c r="AN331" s="136"/>
      <c r="AO331" s="136"/>
    </row>
    <row r="332" spans="1:41" ht="15.75" customHeight="1">
      <c r="A332" s="102" t="s">
        <v>186</v>
      </c>
      <c r="B332" s="597">
        <f>('Pivot Table for Data Exchange'!$M$403)*100</f>
        <v>72.783240138791825</v>
      </c>
      <c r="C332" s="597">
        <f>('Pivot Table for Data Exchange'!$M$406)*100</f>
        <v>7.2517154232783057</v>
      </c>
      <c r="D332" s="603">
        <f>SUM(E332:G332)</f>
        <v>19.965044437929855</v>
      </c>
      <c r="E332" s="597">
        <f>('Pivot Table for Data Exchange'!$M$409)*100</f>
        <v>17.169781625441132</v>
      </c>
      <c r="F332" s="597">
        <f>('Pivot Table for Data Exchange'!$M$412)*100</f>
        <v>2.7946011596216369</v>
      </c>
      <c r="G332" s="630">
        <f>('Pivot Table for Data Exchange'!$M$415)*100</f>
        <v>6.6165286708743667E-4</v>
      </c>
      <c r="H332" s="597">
        <f>('Pivot Table for Data Exchange'!$M$418)*100</f>
        <v>0</v>
      </c>
      <c r="I332" s="102"/>
      <c r="J332" s="119"/>
      <c r="K332" s="119"/>
      <c r="L332" s="119"/>
      <c r="M332" s="119"/>
      <c r="N332" s="119"/>
      <c r="O332" s="119"/>
      <c r="P332" s="119"/>
      <c r="Q332" s="602">
        <f t="shared" si="39"/>
        <v>100</v>
      </c>
      <c r="R332" s="135"/>
      <c r="S332" s="136"/>
      <c r="T332" s="136"/>
      <c r="U332" s="136"/>
      <c r="V332" s="136"/>
      <c r="W332" s="136"/>
      <c r="X332" s="136"/>
      <c r="Y332" s="136"/>
      <c r="Z332" s="136"/>
      <c r="AA332" s="136"/>
      <c r="AB332" s="136"/>
      <c r="AC332" s="136"/>
      <c r="AD332" s="136"/>
      <c r="AE332" s="136"/>
      <c r="AF332" s="136"/>
      <c r="AG332" s="136"/>
      <c r="AH332" s="136"/>
      <c r="AI332" s="136"/>
      <c r="AJ332" s="136"/>
      <c r="AK332" s="136"/>
      <c r="AL332" s="136"/>
      <c r="AM332" s="136"/>
      <c r="AN332" s="136"/>
      <c r="AO332" s="136"/>
    </row>
    <row r="333" spans="1:41" ht="12.75" customHeight="1">
      <c r="A333" s="102"/>
      <c r="B333" s="597"/>
      <c r="C333" s="597"/>
      <c r="D333" s="603"/>
      <c r="E333" s="597"/>
      <c r="F333" s="597"/>
      <c r="G333" s="599"/>
      <c r="H333" s="597"/>
      <c r="I333" s="102"/>
      <c r="J333" s="119"/>
      <c r="K333" s="119"/>
      <c r="L333" s="119"/>
      <c r="M333" s="119"/>
      <c r="N333" s="119"/>
      <c r="O333" s="119"/>
      <c r="P333" s="119"/>
      <c r="Q333" s="602">
        <f t="shared" si="39"/>
        <v>0</v>
      </c>
      <c r="R333" s="135"/>
      <c r="S333" s="136"/>
      <c r="T333" s="136"/>
      <c r="U333" s="136"/>
      <c r="V333" s="136"/>
      <c r="W333" s="136"/>
      <c r="X333" s="136"/>
      <c r="Y333" s="136"/>
      <c r="Z333" s="136"/>
      <c r="AA333" s="136"/>
      <c r="AB333" s="136"/>
      <c r="AC333" s="136"/>
      <c r="AD333" s="136"/>
      <c r="AE333" s="136"/>
      <c r="AF333" s="136"/>
      <c r="AG333" s="136"/>
      <c r="AH333" s="136"/>
      <c r="AI333" s="136"/>
      <c r="AJ333" s="136"/>
      <c r="AK333" s="136"/>
      <c r="AL333" s="136"/>
      <c r="AM333" s="136"/>
      <c r="AN333" s="136"/>
      <c r="AO333" s="136"/>
    </row>
    <row r="334" spans="1:41" ht="15.75" customHeight="1">
      <c r="A334" s="102" t="s">
        <v>187</v>
      </c>
      <c r="B334" s="597">
        <f>('Pivot Table for Data Exchange'!$M$439)*100</f>
        <v>42.135097794874568</v>
      </c>
      <c r="C334" s="597">
        <f>('Pivot Table for Data Exchange'!$M$442)*100</f>
        <v>32.648859511296529</v>
      </c>
      <c r="D334" s="603">
        <f>SUM(E334:G334)</f>
        <v>24.935435516786765</v>
      </c>
      <c r="E334" s="597">
        <f>('Pivot Table for Data Exchange'!$M$445)*100</f>
        <v>14.715058424084809</v>
      </c>
      <c r="F334" s="597">
        <f>('Pivot Table for Data Exchange'!$M$448)*100</f>
        <v>3.7212620324718717</v>
      </c>
      <c r="G334" s="599">
        <f>('Pivot Table for Data Exchange'!$M$451)*100</f>
        <v>6.4991150602300847</v>
      </c>
      <c r="H334" s="597">
        <f>('Pivot Table for Data Exchange'!$M$454)*100</f>
        <v>0.280607177042134</v>
      </c>
      <c r="I334" s="102"/>
      <c r="J334" s="119"/>
      <c r="K334" s="119"/>
      <c r="L334" s="119"/>
      <c r="M334" s="119"/>
      <c r="N334" s="119"/>
      <c r="O334" s="119"/>
      <c r="P334" s="119"/>
      <c r="Q334" s="602">
        <f t="shared" si="39"/>
        <v>99.999999999999986</v>
      </c>
      <c r="R334" s="135"/>
      <c r="S334" s="136"/>
      <c r="T334" s="136"/>
      <c r="U334" s="136"/>
      <c r="V334" s="136"/>
      <c r="W334" s="136"/>
      <c r="X334" s="136"/>
      <c r="Y334" s="136"/>
      <c r="Z334" s="136"/>
      <c r="AA334" s="136"/>
      <c r="AB334" s="136"/>
      <c r="AC334" s="136"/>
      <c r="AD334" s="136"/>
      <c r="AE334" s="136"/>
      <c r="AF334" s="136"/>
      <c r="AG334" s="136"/>
      <c r="AH334" s="136"/>
      <c r="AI334" s="136"/>
      <c r="AJ334" s="136"/>
      <c r="AK334" s="136"/>
      <c r="AL334" s="136"/>
      <c r="AM334" s="136"/>
      <c r="AN334" s="136"/>
      <c r="AO334" s="136"/>
    </row>
    <row r="335" spans="1:41" ht="15.75" customHeight="1">
      <c r="A335" s="102" t="s">
        <v>188</v>
      </c>
      <c r="B335" s="597">
        <f>('Pivot Table for Data Exchange'!$M$475)*100</f>
        <v>57.375657086588717</v>
      </c>
      <c r="C335" s="597">
        <f>('Pivot Table for Data Exchange'!$M$478)*100</f>
        <v>20.482659213468803</v>
      </c>
      <c r="D335" s="603">
        <f>SUM(E335:G335)</f>
        <v>22.141683699942476</v>
      </c>
      <c r="E335" s="597">
        <f>('Pivot Table for Data Exchange'!$M$481)*100</f>
        <v>19.477778827679611</v>
      </c>
      <c r="F335" s="597">
        <f>('Pivot Table for Data Exchange'!$M$484)*100</f>
        <v>2.4422236257752008</v>
      </c>
      <c r="G335" s="599">
        <f>('Pivot Table for Data Exchange'!$M$487)*100</f>
        <v>0.22168124648766391</v>
      </c>
      <c r="H335" s="597">
        <f>('Pivot Table for Data Exchange'!$M$490)*100</f>
        <v>0</v>
      </c>
      <c r="I335" s="102"/>
      <c r="J335" s="119"/>
      <c r="K335" s="119"/>
      <c r="L335" s="119"/>
      <c r="M335" s="119"/>
      <c r="N335" s="119"/>
      <c r="O335" s="119"/>
      <c r="P335" s="119"/>
      <c r="Q335" s="602">
        <f t="shared" si="39"/>
        <v>100</v>
      </c>
      <c r="R335" s="135"/>
      <c r="S335" s="136"/>
      <c r="T335" s="136"/>
      <c r="U335" s="136"/>
      <c r="V335" s="136"/>
      <c r="W335" s="136"/>
      <c r="X335" s="136"/>
      <c r="Y335" s="136"/>
      <c r="Z335" s="136"/>
      <c r="AA335" s="136"/>
      <c r="AB335" s="136"/>
      <c r="AC335" s="136"/>
      <c r="AD335" s="136"/>
      <c r="AE335" s="136"/>
      <c r="AF335" s="136"/>
      <c r="AG335" s="136"/>
      <c r="AH335" s="136"/>
      <c r="AI335" s="136"/>
      <c r="AJ335" s="136"/>
      <c r="AK335" s="136"/>
      <c r="AL335" s="136"/>
      <c r="AM335" s="136"/>
      <c r="AN335" s="136"/>
      <c r="AO335" s="136"/>
    </row>
    <row r="336" spans="1:41" ht="15.75" customHeight="1">
      <c r="A336" s="102" t="s">
        <v>189</v>
      </c>
      <c r="B336" s="597">
        <f>('Pivot Table for Data Exchange'!$M$511)*100</f>
        <v>50.971152023712293</v>
      </c>
      <c r="C336" s="597">
        <f>('Pivot Table for Data Exchange'!$M$514)*100</f>
        <v>20.204011572986925</v>
      </c>
      <c r="D336" s="603">
        <f>SUM(E336:G336)</f>
        <v>28.824836403300782</v>
      </c>
      <c r="E336" s="597">
        <f>('Pivot Table for Data Exchange'!$M$517)*100</f>
        <v>25.067421554650089</v>
      </c>
      <c r="F336" s="597">
        <f>('Pivot Table for Data Exchange'!$M$520)*100</f>
        <v>3.7574148486506935</v>
      </c>
      <c r="G336" s="599">
        <f>('Pivot Table for Data Exchange'!$M$523)*100</f>
        <v>0</v>
      </c>
      <c r="H336" s="597">
        <f>('Pivot Table for Data Exchange'!$M$526)*100</f>
        <v>0</v>
      </c>
      <c r="I336" s="102"/>
      <c r="J336" s="119"/>
      <c r="K336" s="119"/>
      <c r="L336" s="119"/>
      <c r="M336" s="119"/>
      <c r="N336" s="119"/>
      <c r="O336" s="119"/>
      <c r="P336" s="119"/>
      <c r="Q336" s="602">
        <f t="shared" si="39"/>
        <v>100</v>
      </c>
      <c r="R336" s="135"/>
      <c r="S336" s="136"/>
      <c r="T336" s="136"/>
      <c r="U336" s="136"/>
      <c r="V336" s="136"/>
      <c r="W336" s="136"/>
      <c r="X336" s="136"/>
      <c r="Y336" s="136"/>
      <c r="Z336" s="136"/>
      <c r="AA336" s="136"/>
      <c r="AB336" s="136"/>
      <c r="AC336" s="136"/>
      <c r="AD336" s="136"/>
      <c r="AE336" s="136"/>
      <c r="AF336" s="136"/>
      <c r="AG336" s="136"/>
      <c r="AH336" s="136"/>
      <c r="AI336" s="136"/>
      <c r="AJ336" s="136"/>
      <c r="AK336" s="136"/>
      <c r="AL336" s="136"/>
      <c r="AM336" s="136"/>
      <c r="AN336" s="136"/>
      <c r="AO336" s="136"/>
    </row>
    <row r="337" spans="1:41" ht="15.75" customHeight="1">
      <c r="A337" s="76" t="s">
        <v>190</v>
      </c>
      <c r="B337" s="600">
        <f>('Pivot Table for Data Exchange'!$M$547)*100</f>
        <v>75.70675076047219</v>
      </c>
      <c r="C337" s="600">
        <f>('Pivot Table for Data Exchange'!$M$550)*100</f>
        <v>0</v>
      </c>
      <c r="D337" s="604">
        <f>SUM(E337:G337)</f>
        <v>24.29324923952781</v>
      </c>
      <c r="E337" s="600">
        <f>('Pivot Table for Data Exchange'!$M$553)*100</f>
        <v>21.552758630312841</v>
      </c>
      <c r="F337" s="600">
        <f>('Pivot Table for Data Exchange'!$M$556)*100</f>
        <v>2.7404906092149695</v>
      </c>
      <c r="G337" s="601">
        <f>('Pivot Table for Data Exchange'!$M$559)*100</f>
        <v>0</v>
      </c>
      <c r="H337" s="600">
        <f>('Pivot Table for Data Exchange'!$M$562)*100</f>
        <v>0</v>
      </c>
      <c r="I337" s="102"/>
      <c r="J337" s="119"/>
      <c r="K337" s="119"/>
      <c r="L337" s="119"/>
      <c r="M337" s="119"/>
      <c r="N337" s="119"/>
      <c r="O337" s="119"/>
      <c r="P337" s="119"/>
      <c r="Q337" s="602">
        <f t="shared" si="39"/>
        <v>100</v>
      </c>
      <c r="R337" s="135"/>
      <c r="S337" s="136"/>
      <c r="T337" s="136"/>
      <c r="U337" s="136"/>
      <c r="V337" s="136"/>
      <c r="W337" s="136"/>
      <c r="X337" s="136"/>
      <c r="Y337" s="136"/>
      <c r="Z337" s="136"/>
      <c r="AA337" s="136"/>
      <c r="AB337" s="136"/>
      <c r="AC337" s="136"/>
      <c r="AD337" s="136"/>
      <c r="AE337" s="136"/>
      <c r="AF337" s="136"/>
      <c r="AG337" s="136"/>
      <c r="AH337" s="136"/>
      <c r="AI337" s="136"/>
      <c r="AJ337" s="136"/>
      <c r="AK337" s="136"/>
      <c r="AL337" s="136"/>
      <c r="AM337" s="136"/>
      <c r="AN337" s="136"/>
      <c r="AO337" s="136"/>
    </row>
    <row r="338" spans="1:41" s="141" customFormat="1" ht="21" customHeight="1">
      <c r="A338" s="43" t="s">
        <v>219</v>
      </c>
      <c r="B338" s="106"/>
      <c r="C338" s="106"/>
      <c r="D338" s="107"/>
      <c r="E338" s="106"/>
      <c r="F338" s="107"/>
      <c r="G338" s="107"/>
      <c r="H338" s="106"/>
      <c r="I338" s="43"/>
      <c r="J338" s="106"/>
      <c r="K338" s="106"/>
      <c r="L338" s="107"/>
      <c r="M338" s="106"/>
      <c r="N338" s="107"/>
      <c r="O338" s="107"/>
      <c r="P338" s="106"/>
      <c r="Q338" s="602">
        <f t="shared" si="39"/>
        <v>0</v>
      </c>
      <c r="R338" s="139"/>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row>
    <row r="339" spans="1:41" s="141" customFormat="1" ht="35.25" customHeight="1">
      <c r="A339" s="655" t="s">
        <v>225</v>
      </c>
      <c r="B339" s="657"/>
      <c r="C339" s="657"/>
      <c r="D339" s="657"/>
      <c r="E339" s="657"/>
      <c r="F339" s="657"/>
      <c r="G339" s="657"/>
      <c r="H339" s="657"/>
      <c r="I339" s="43"/>
      <c r="J339" s="45"/>
      <c r="K339" s="45"/>
      <c r="L339" s="45"/>
      <c r="M339" s="45"/>
      <c r="N339" s="45"/>
      <c r="O339" s="45"/>
      <c r="P339" s="115"/>
      <c r="Q339" s="602">
        <f t="shared" si="39"/>
        <v>0</v>
      </c>
      <c r="R339" s="144"/>
    </row>
    <row r="340" spans="1:41" s="141" customFormat="1">
      <c r="A340" s="45"/>
      <c r="B340" s="45"/>
      <c r="C340" s="45"/>
      <c r="D340" s="45"/>
      <c r="E340" s="45"/>
      <c r="F340" s="45"/>
      <c r="G340" s="45"/>
      <c r="H340" s="49" t="s">
        <v>900</v>
      </c>
      <c r="I340" s="47"/>
      <c r="J340" s="47"/>
      <c r="K340" s="47"/>
      <c r="L340" s="47"/>
      <c r="M340" s="47"/>
      <c r="N340" s="47"/>
      <c r="O340" s="47"/>
      <c r="P340" s="47"/>
      <c r="Q340" s="602">
        <f t="shared" si="39"/>
        <v>0</v>
      </c>
      <c r="R340" s="143"/>
    </row>
    <row r="341" spans="1:41" ht="18">
      <c r="A341" s="16" t="s">
        <v>276</v>
      </c>
      <c r="B341" s="71"/>
      <c r="C341" s="71"/>
      <c r="D341" s="71"/>
      <c r="E341" s="71"/>
      <c r="F341" s="71"/>
      <c r="G341" s="71"/>
      <c r="H341" s="72"/>
      <c r="I341" s="118"/>
      <c r="J341" s="102"/>
      <c r="K341" s="102"/>
      <c r="L341" s="72"/>
      <c r="M341" s="102"/>
      <c r="N341" s="102"/>
      <c r="O341" s="102"/>
      <c r="P341" s="102"/>
      <c r="Q341" s="602">
        <f t="shared" si="39"/>
        <v>0</v>
      </c>
    </row>
    <row r="342" spans="1:41">
      <c r="A342" s="22"/>
      <c r="B342" s="23"/>
      <c r="C342" s="23"/>
      <c r="D342" s="23"/>
      <c r="E342" s="23"/>
      <c r="F342" s="23"/>
      <c r="G342" s="23"/>
      <c r="H342" s="73"/>
      <c r="I342" s="118"/>
      <c r="J342" s="102"/>
      <c r="K342" s="102"/>
      <c r="L342" s="102"/>
      <c r="M342" s="102"/>
      <c r="N342" s="102"/>
      <c r="O342" s="102"/>
      <c r="P342" s="102"/>
      <c r="Q342" s="602">
        <f t="shared" si="39"/>
        <v>0</v>
      </c>
    </row>
    <row r="343" spans="1:41" ht="15.75">
      <c r="A343" s="74" t="s">
        <v>205</v>
      </c>
      <c r="B343" s="23"/>
      <c r="C343" s="23"/>
      <c r="D343" s="23"/>
      <c r="E343" s="23"/>
      <c r="F343" s="23"/>
      <c r="G343" s="23"/>
      <c r="H343" s="73"/>
      <c r="I343" s="118"/>
      <c r="J343" s="102"/>
      <c r="K343" s="102"/>
      <c r="L343" s="73"/>
      <c r="M343" s="102"/>
      <c r="N343" s="102"/>
      <c r="O343" s="102"/>
      <c r="P343" s="102"/>
      <c r="Q343" s="602">
        <f t="shared" si="39"/>
        <v>0</v>
      </c>
    </row>
    <row r="344" spans="1:41" ht="15.75">
      <c r="A344" s="74" t="s">
        <v>892</v>
      </c>
      <c r="B344" s="23"/>
      <c r="C344" s="23"/>
      <c r="D344" s="23"/>
      <c r="E344" s="23"/>
      <c r="F344" s="23"/>
      <c r="G344" s="23"/>
      <c r="H344" s="73"/>
      <c r="I344" s="118"/>
      <c r="J344" s="102"/>
      <c r="K344" s="102"/>
      <c r="L344" s="102"/>
      <c r="M344" s="102"/>
      <c r="N344" s="102"/>
      <c r="O344" s="102"/>
      <c r="P344" s="102"/>
      <c r="Q344" s="602">
        <f t="shared" si="39"/>
        <v>0</v>
      </c>
    </row>
    <row r="345" spans="1:41">
      <c r="A345" s="76"/>
      <c r="B345" s="77"/>
      <c r="C345" s="77"/>
      <c r="D345" s="77"/>
      <c r="E345" s="77"/>
      <c r="F345" s="77"/>
      <c r="G345" s="77"/>
      <c r="H345" s="77"/>
      <c r="I345" s="118"/>
      <c r="J345" s="102"/>
      <c r="K345" s="102"/>
      <c r="L345" s="102"/>
      <c r="M345" s="102"/>
      <c r="N345" s="102"/>
      <c r="O345" s="102"/>
      <c r="P345" s="102"/>
      <c r="Q345" s="602">
        <f t="shared" si="39"/>
        <v>0</v>
      </c>
    </row>
    <row r="346" spans="1:41">
      <c r="A346" s="80"/>
      <c r="B346" s="81" t="s">
        <v>207</v>
      </c>
      <c r="C346" s="81"/>
      <c r="D346" s="81"/>
      <c r="E346" s="81"/>
      <c r="F346" s="81"/>
      <c r="G346" s="81"/>
      <c r="H346" s="82"/>
      <c r="I346" s="118"/>
      <c r="J346" s="102"/>
      <c r="K346" s="102"/>
      <c r="L346" s="102"/>
      <c r="M346" s="102"/>
      <c r="N346" s="102"/>
      <c r="O346" s="102"/>
      <c r="P346" s="102"/>
      <c r="Q346" s="602">
        <f t="shared" si="39"/>
        <v>0</v>
      </c>
    </row>
    <row r="347" spans="1:41">
      <c r="A347" s="80"/>
      <c r="B347" s="81" t="s">
        <v>208</v>
      </c>
      <c r="C347" s="81"/>
      <c r="D347" s="653" t="s">
        <v>209</v>
      </c>
      <c r="E347" s="654"/>
      <c r="F347" s="654"/>
      <c r="G347" s="654"/>
      <c r="H347" s="86" t="s">
        <v>39</v>
      </c>
      <c r="I347" s="118"/>
      <c r="J347" s="102"/>
      <c r="K347" s="102"/>
      <c r="L347" s="102"/>
      <c r="M347" s="102"/>
      <c r="N347" s="102"/>
      <c r="O347" s="102"/>
      <c r="P347" s="102"/>
      <c r="Q347" s="602">
        <f t="shared" ref="Q347:Q410" si="44">SUM(B347,C347,D347,H347)</f>
        <v>0</v>
      </c>
    </row>
    <row r="348" spans="1:41" ht="36">
      <c r="A348" s="80"/>
      <c r="B348" s="87" t="s">
        <v>210</v>
      </c>
      <c r="C348" s="88" t="s">
        <v>211</v>
      </c>
      <c r="D348" s="89" t="s">
        <v>212</v>
      </c>
      <c r="E348" s="90" t="s">
        <v>7</v>
      </c>
      <c r="F348" s="87" t="s">
        <v>213</v>
      </c>
      <c r="G348" s="91" t="s">
        <v>214</v>
      </c>
      <c r="H348" s="92" t="s">
        <v>215</v>
      </c>
      <c r="I348" s="118"/>
      <c r="J348" s="102"/>
      <c r="K348" s="102"/>
      <c r="L348" s="102"/>
      <c r="M348" s="102"/>
      <c r="N348" s="102"/>
      <c r="O348" s="102"/>
      <c r="P348" s="102"/>
      <c r="Q348" s="602">
        <f t="shared" si="44"/>
        <v>0</v>
      </c>
    </row>
    <row r="349" spans="1:41" ht="15.75" customHeight="1">
      <c r="A349" s="99" t="s">
        <v>175</v>
      </c>
      <c r="B349" s="120">
        <f>('Pivot Table for Data Exchange'!$N$7)*100</f>
        <v>61.512165836776504</v>
      </c>
      <c r="C349" s="597">
        <f>('Pivot Table for Data Exchange'!$N$10)*100</f>
        <v>15.718473002083556</v>
      </c>
      <c r="D349" s="603">
        <f>SUM(E349:G349)</f>
        <v>22.769361161139951</v>
      </c>
      <c r="E349" s="597">
        <f>('Pivot Table for Data Exchange'!$N$13)*100</f>
        <v>22.614683758872761</v>
      </c>
      <c r="F349" s="597">
        <f>('Pivot Table for Data Exchange'!$N$16)*100</f>
        <v>0.10276512342409154</v>
      </c>
      <c r="G349" s="97">
        <f>('Pivot Table for Data Exchange'!$N$19)*100</f>
        <v>5.1912278843097785E-2</v>
      </c>
      <c r="H349" s="597">
        <f>('Pivot Table for Data Exchange'!$N$22)*100</f>
        <v>0</v>
      </c>
      <c r="I349" s="102"/>
      <c r="J349" s="119"/>
      <c r="K349" s="119"/>
      <c r="L349" s="119"/>
      <c r="M349" s="119"/>
      <c r="N349" s="119"/>
      <c r="O349" s="119"/>
      <c r="P349" s="119"/>
      <c r="Q349" s="602">
        <f t="shared" si="44"/>
        <v>100.00000000000001</v>
      </c>
      <c r="R349" s="135"/>
      <c r="S349" s="136"/>
      <c r="T349" s="136"/>
      <c r="U349" s="136"/>
      <c r="V349" s="136"/>
      <c r="W349" s="136"/>
      <c r="X349" s="136"/>
      <c r="Y349" s="136"/>
      <c r="Z349" s="136"/>
      <c r="AA349" s="136"/>
      <c r="AB349" s="136"/>
      <c r="AC349" s="136"/>
      <c r="AD349" s="136"/>
      <c r="AE349" s="136"/>
      <c r="AF349" s="136"/>
      <c r="AG349" s="136"/>
      <c r="AH349" s="136"/>
      <c r="AI349" s="136"/>
      <c r="AJ349" s="136"/>
      <c r="AK349" s="136"/>
      <c r="AL349" s="136"/>
      <c r="AM349" s="136"/>
      <c r="AN349" s="136"/>
      <c r="AO349" s="136"/>
    </row>
    <row r="350" spans="1:41" ht="15.75" customHeight="1">
      <c r="A350" s="102" t="s">
        <v>176</v>
      </c>
      <c r="B350" s="597">
        <f>('Pivot Table for Data Exchange'!$N$43)*100</f>
        <v>69.008452964583284</v>
      </c>
      <c r="C350" s="597">
        <f>('Pivot Table for Data Exchange'!$N$46)*100</f>
        <v>12.007689010046827</v>
      </c>
      <c r="D350" s="603">
        <f t="shared" ref="D350:D352" si="45">SUM(E350:G350)</f>
        <v>18.97685052872249</v>
      </c>
      <c r="E350" s="597">
        <f>('Pivot Table for Data Exchange'!$N$49)*100</f>
        <v>17.386011387869061</v>
      </c>
      <c r="F350" s="597">
        <f>('Pivot Table for Data Exchange'!$N$52)*100</f>
        <v>1.5584122936223537</v>
      </c>
      <c r="G350" s="105">
        <f>('Pivot Table for Data Exchange'!$N$55)*100</f>
        <v>3.2426847231077006E-2</v>
      </c>
      <c r="H350" s="104">
        <f>('Pivot Table for Data Exchange'!$N$58)*100</f>
        <v>7.0074966473937603E-3</v>
      </c>
      <c r="I350" s="102"/>
      <c r="J350" s="119"/>
      <c r="K350" s="119"/>
      <c r="L350" s="119"/>
      <c r="M350" s="119"/>
      <c r="N350" s="119"/>
      <c r="O350" s="119"/>
      <c r="P350" s="119"/>
      <c r="Q350" s="602">
        <f t="shared" si="44"/>
        <v>100</v>
      </c>
      <c r="R350" s="135"/>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row>
    <row r="351" spans="1:41" ht="15.75" customHeight="1">
      <c r="A351" s="102" t="s">
        <v>177</v>
      </c>
      <c r="B351" s="597">
        <f>('Pivot Table for Data Exchange'!$N$79)*100</f>
        <v>0</v>
      </c>
      <c r="C351" s="597">
        <f>('Pivot Table for Data Exchange'!$N$82)*100</f>
        <v>0</v>
      </c>
      <c r="D351" s="603">
        <f t="shared" si="45"/>
        <v>0</v>
      </c>
      <c r="E351" s="597">
        <f>('Pivot Table for Data Exchange'!$N$85)*100</f>
        <v>0</v>
      </c>
      <c r="F351" s="597">
        <f>('Pivot Table for Data Exchange'!$N$88)*100</f>
        <v>0</v>
      </c>
      <c r="G351" s="599">
        <f>('Pivot Table for Data Exchange'!$N$91)*100</f>
        <v>0</v>
      </c>
      <c r="H351" s="597">
        <f>('Pivot Table for Data Exchange'!$N$94)*100</f>
        <v>0</v>
      </c>
      <c r="I351" s="102"/>
      <c r="J351" s="119"/>
      <c r="K351" s="119"/>
      <c r="L351" s="119"/>
      <c r="M351" s="119"/>
      <c r="N351" s="119"/>
      <c r="O351" s="119"/>
      <c r="P351" s="119"/>
      <c r="Q351" s="602">
        <f t="shared" si="44"/>
        <v>0</v>
      </c>
      <c r="R351" s="135"/>
      <c r="S351" s="136"/>
      <c r="T351" s="142"/>
      <c r="U351" s="136"/>
      <c r="V351" s="136"/>
      <c r="W351" s="136"/>
      <c r="X351" s="136"/>
      <c r="Y351" s="136"/>
      <c r="Z351" s="136"/>
      <c r="AA351" s="136"/>
      <c r="AB351" s="136"/>
      <c r="AC351" s="136"/>
      <c r="AD351" s="136"/>
      <c r="AE351" s="136"/>
      <c r="AF351" s="136"/>
      <c r="AG351" s="136"/>
      <c r="AH351" s="136"/>
      <c r="AI351" s="136"/>
      <c r="AJ351" s="136"/>
      <c r="AK351" s="136"/>
      <c r="AL351" s="136"/>
      <c r="AM351" s="136"/>
      <c r="AN351" s="136"/>
      <c r="AO351" s="136"/>
    </row>
    <row r="352" spans="1:41" ht="15.75" customHeight="1">
      <c r="A352" s="102" t="s">
        <v>217</v>
      </c>
      <c r="B352" s="597">
        <f>('Pivot Table for Data Exchange'!$N$115)*100</f>
        <v>39.794629925353739</v>
      </c>
      <c r="C352" s="597">
        <f>('Pivot Table for Data Exchange'!$N$118)*100</f>
        <v>2.6293311546031863</v>
      </c>
      <c r="D352" s="603">
        <f t="shared" si="45"/>
        <v>57.576038920043089</v>
      </c>
      <c r="E352" s="597">
        <f>('Pivot Table for Data Exchange'!$N$121)*100</f>
        <v>17.114791844616928</v>
      </c>
      <c r="F352" s="597">
        <f>('Pivot Table for Data Exchange'!$N$124)*100</f>
        <v>0</v>
      </c>
      <c r="G352" s="599">
        <f>('Pivot Table for Data Exchange'!$N$127)*100</f>
        <v>40.461247075426158</v>
      </c>
      <c r="H352" s="597">
        <f>('Pivot Table for Data Exchange'!$N$130)*100</f>
        <v>0</v>
      </c>
      <c r="I352" s="102"/>
      <c r="J352" s="119"/>
      <c r="K352" s="119"/>
      <c r="L352" s="119"/>
      <c r="M352" s="119"/>
      <c r="N352" s="119"/>
      <c r="O352" s="119"/>
      <c r="P352" s="119"/>
      <c r="Q352" s="602">
        <f t="shared" si="44"/>
        <v>100.00000000000001</v>
      </c>
      <c r="R352" s="135"/>
      <c r="S352" s="136"/>
      <c r="U352" s="136"/>
      <c r="V352" s="136"/>
      <c r="W352" s="136"/>
      <c r="X352" s="136"/>
      <c r="Y352" s="136"/>
      <c r="Z352" s="136"/>
      <c r="AA352" s="136"/>
      <c r="AB352" s="136"/>
      <c r="AC352" s="136"/>
      <c r="AD352" s="136"/>
      <c r="AE352" s="136"/>
      <c r="AF352" s="136"/>
      <c r="AG352" s="136"/>
      <c r="AH352" s="136"/>
      <c r="AI352" s="136"/>
      <c r="AJ352" s="136"/>
      <c r="AK352" s="136"/>
      <c r="AL352" s="136"/>
      <c r="AM352" s="136"/>
      <c r="AN352" s="136"/>
      <c r="AO352" s="136"/>
    </row>
    <row r="353" spans="1:41" ht="15.75" customHeight="1">
      <c r="A353" s="102"/>
      <c r="B353" s="597"/>
      <c r="C353" s="597"/>
      <c r="D353" s="603"/>
      <c r="E353" s="597"/>
      <c r="F353" s="597"/>
      <c r="G353" s="599"/>
      <c r="H353" s="597"/>
      <c r="I353" s="102"/>
      <c r="J353" s="119"/>
      <c r="K353" s="119"/>
      <c r="L353" s="119"/>
      <c r="M353" s="119"/>
      <c r="N353" s="119"/>
      <c r="O353" s="119"/>
      <c r="P353" s="119"/>
      <c r="Q353" s="602">
        <f t="shared" si="44"/>
        <v>0</v>
      </c>
      <c r="R353" s="135"/>
      <c r="S353" s="136"/>
      <c r="U353" s="136"/>
      <c r="V353" s="136"/>
      <c r="W353" s="136"/>
      <c r="X353" s="136"/>
      <c r="Y353" s="136"/>
      <c r="Z353" s="136"/>
      <c r="AA353" s="136"/>
      <c r="AB353" s="136"/>
      <c r="AC353" s="136"/>
      <c r="AD353" s="136"/>
      <c r="AE353" s="136"/>
      <c r="AF353" s="136"/>
      <c r="AG353" s="136"/>
      <c r="AH353" s="136"/>
      <c r="AI353" s="136"/>
      <c r="AJ353" s="136"/>
      <c r="AK353" s="136"/>
      <c r="AL353" s="136"/>
      <c r="AM353" s="136"/>
      <c r="AN353" s="136"/>
      <c r="AO353" s="136"/>
    </row>
    <row r="354" spans="1:41" ht="15.75" customHeight="1">
      <c r="A354" s="102" t="s">
        <v>179</v>
      </c>
      <c r="B354" s="597">
        <f>('Pivot Table for Data Exchange'!$N$151)*100</f>
        <v>0</v>
      </c>
      <c r="C354" s="597">
        <f>('Pivot Table for Data Exchange'!$N$154)*100</f>
        <v>0</v>
      </c>
      <c r="D354" s="603">
        <f t="shared" ref="D354:D355" si="46">SUM(E354:G354)</f>
        <v>0</v>
      </c>
      <c r="E354" s="597">
        <f>('Pivot Table for Data Exchange'!$N$157)*100</f>
        <v>0</v>
      </c>
      <c r="F354" s="597">
        <f>('Pivot Table for Data Exchange'!$N$160)*100</f>
        <v>0</v>
      </c>
      <c r="G354" s="599">
        <f>('Pivot Table for Data Exchange'!$N$163)*100</f>
        <v>0</v>
      </c>
      <c r="H354" s="597">
        <f>('Pivot Table for Data Exchange'!$N$166)*100</f>
        <v>0</v>
      </c>
      <c r="I354" s="102"/>
      <c r="J354" s="119"/>
      <c r="K354" s="119"/>
      <c r="L354" s="119"/>
      <c r="M354" s="119"/>
      <c r="N354" s="119"/>
      <c r="O354" s="119"/>
      <c r="P354" s="119"/>
      <c r="Q354" s="602">
        <f t="shared" si="44"/>
        <v>0</v>
      </c>
      <c r="R354" s="135"/>
      <c r="S354" s="136"/>
      <c r="T354" s="136"/>
      <c r="U354" s="136"/>
      <c r="V354" s="136"/>
      <c r="W354" s="136"/>
      <c r="X354" s="136"/>
      <c r="Y354" s="136"/>
      <c r="Z354" s="136"/>
      <c r="AA354" s="136"/>
      <c r="AB354" s="136"/>
      <c r="AC354" s="136"/>
      <c r="AD354" s="136"/>
      <c r="AE354" s="136"/>
      <c r="AF354" s="136"/>
      <c r="AG354" s="136"/>
      <c r="AH354" s="136"/>
      <c r="AI354" s="136"/>
      <c r="AJ354" s="136"/>
      <c r="AK354" s="136"/>
      <c r="AL354" s="136"/>
      <c r="AM354" s="136"/>
      <c r="AN354" s="136"/>
      <c r="AO354" s="136"/>
    </row>
    <row r="355" spans="1:41" ht="15.75" customHeight="1">
      <c r="A355" s="102" t="s">
        <v>180</v>
      </c>
      <c r="B355" s="597">
        <f>('Pivot Table for Data Exchange'!$N$187)*100</f>
        <v>62.329411553866962</v>
      </c>
      <c r="C355" s="597">
        <f>('Pivot Table for Data Exchange'!$N$190)*100</f>
        <v>0.83244473516787787</v>
      </c>
      <c r="D355" s="603">
        <f t="shared" si="46"/>
        <v>36.838143710965149</v>
      </c>
      <c r="E355" s="597">
        <f>('Pivot Table for Data Exchange'!$N$193)*100</f>
        <v>34.897266104534985</v>
      </c>
      <c r="F355" s="597">
        <f>('Pivot Table for Data Exchange'!$N$196)*100</f>
        <v>1.9408776064301649</v>
      </c>
      <c r="G355" s="599">
        <f>('Pivot Table for Data Exchange'!$N$199)*100</f>
        <v>0</v>
      </c>
      <c r="H355" s="597">
        <f>('Pivot Table for Data Exchange'!$N$202)*100</f>
        <v>0</v>
      </c>
      <c r="I355" s="102"/>
      <c r="J355" s="119"/>
      <c r="K355" s="119"/>
      <c r="L355" s="119"/>
      <c r="M355" s="119"/>
      <c r="N355" s="119"/>
      <c r="O355" s="119"/>
      <c r="P355" s="119"/>
      <c r="Q355" s="602">
        <f t="shared" si="44"/>
        <v>99.999999999999986</v>
      </c>
      <c r="R355" s="135"/>
      <c r="S355" s="136"/>
      <c r="T355" s="136"/>
      <c r="U355" s="136"/>
      <c r="V355" s="136"/>
      <c r="W355" s="136"/>
      <c r="X355" s="136"/>
      <c r="Y355" s="136"/>
      <c r="Z355" s="136"/>
      <c r="AA355" s="136"/>
      <c r="AB355" s="136"/>
      <c r="AC355" s="136"/>
      <c r="AD355" s="136"/>
      <c r="AE355" s="136"/>
      <c r="AF355" s="136"/>
      <c r="AG355" s="136"/>
      <c r="AH355" s="136"/>
      <c r="AI355" s="136"/>
      <c r="AJ355" s="136"/>
      <c r="AK355" s="136"/>
      <c r="AL355" s="136"/>
      <c r="AM355" s="136"/>
      <c r="AN355" s="136"/>
      <c r="AO355" s="136"/>
    </row>
    <row r="356" spans="1:41" ht="15.75" customHeight="1">
      <c r="A356" s="102" t="s">
        <v>181</v>
      </c>
      <c r="B356" s="597">
        <f>('Pivot Table for Data Exchange'!$N$223)*100</f>
        <v>0</v>
      </c>
      <c r="C356" s="597">
        <f>('Pivot Table for Data Exchange'!$N$226)*100</f>
        <v>0</v>
      </c>
      <c r="D356" s="603">
        <f>SUM(E356:G356)</f>
        <v>0</v>
      </c>
      <c r="E356" s="597">
        <f>('Pivot Table for Data Exchange'!$N$229)*100</f>
        <v>0</v>
      </c>
      <c r="F356" s="597">
        <f>('Pivot Table for Data Exchange'!$N$232)*100</f>
        <v>0</v>
      </c>
      <c r="G356" s="599">
        <f>('Pivot Table for Data Exchange'!$N$235)*100</f>
        <v>0</v>
      </c>
      <c r="H356" s="597">
        <f>('Pivot Table for Data Exchange'!$N$238)*100</f>
        <v>0</v>
      </c>
      <c r="I356" s="102"/>
      <c r="J356" s="119"/>
      <c r="K356" s="119"/>
      <c r="L356" s="119"/>
      <c r="M356" s="119"/>
      <c r="N356" s="119"/>
      <c r="O356" s="119"/>
      <c r="P356" s="119"/>
      <c r="Q356" s="602">
        <f t="shared" si="44"/>
        <v>0</v>
      </c>
      <c r="R356" s="135"/>
      <c r="S356" s="136"/>
      <c r="T356" s="142"/>
      <c r="U356" s="136"/>
      <c r="V356" s="136"/>
      <c r="W356" s="136"/>
      <c r="X356" s="136"/>
      <c r="Y356" s="136"/>
      <c r="Z356" s="136"/>
      <c r="AA356" s="136"/>
      <c r="AB356" s="136"/>
      <c r="AC356" s="136"/>
      <c r="AD356" s="136"/>
      <c r="AE356" s="136"/>
      <c r="AF356" s="136"/>
      <c r="AG356" s="136"/>
      <c r="AH356" s="136"/>
      <c r="AI356" s="136"/>
      <c r="AJ356" s="136"/>
      <c r="AK356" s="136"/>
      <c r="AL356" s="136"/>
      <c r="AM356" s="136"/>
      <c r="AN356" s="136"/>
      <c r="AO356" s="136"/>
    </row>
    <row r="357" spans="1:41" ht="15.75" customHeight="1">
      <c r="A357" s="102" t="s">
        <v>222</v>
      </c>
      <c r="B357" s="597">
        <f>('Pivot Table for Data Exchange'!$N$259)*100</f>
        <v>74.015477384937867</v>
      </c>
      <c r="C357" s="597">
        <f>('Pivot Table for Data Exchange'!$N$262)*100</f>
        <v>8.3271907254900004</v>
      </c>
      <c r="D357" s="603">
        <f>SUM(E357:G357)</f>
        <v>17.657331889572134</v>
      </c>
      <c r="E357" s="597">
        <f>('Pivot Table for Data Exchange'!$N$265)*100</f>
        <v>16.739417660908178</v>
      </c>
      <c r="F357" s="597">
        <f>('Pivot Table for Data Exchange'!$N$268)*100</f>
        <v>0.917914228663958</v>
      </c>
      <c r="G357" s="599">
        <f>('Pivot Table for Data Exchange'!$N$271)*100</f>
        <v>0</v>
      </c>
      <c r="H357" s="597">
        <f>('Pivot Table for Data Exchange'!$N$274)*100</f>
        <v>0</v>
      </c>
      <c r="I357" s="102"/>
      <c r="J357" s="119"/>
      <c r="K357" s="119"/>
      <c r="L357" s="119"/>
      <c r="M357" s="119"/>
      <c r="N357" s="119"/>
      <c r="O357" s="119"/>
      <c r="P357" s="119"/>
      <c r="Q357" s="602">
        <f t="shared" si="44"/>
        <v>100</v>
      </c>
      <c r="R357" s="135"/>
      <c r="S357" s="136"/>
      <c r="U357" s="136"/>
      <c r="V357" s="136"/>
      <c r="W357" s="136"/>
      <c r="X357" s="136"/>
      <c r="Y357" s="136"/>
      <c r="Z357" s="136"/>
      <c r="AA357" s="136"/>
      <c r="AB357" s="136"/>
      <c r="AC357" s="136"/>
      <c r="AD357" s="136"/>
      <c r="AE357" s="136"/>
      <c r="AF357" s="136"/>
      <c r="AG357" s="136"/>
      <c r="AH357" s="136"/>
      <c r="AI357" s="136"/>
      <c r="AJ357" s="136"/>
      <c r="AK357" s="136"/>
      <c r="AL357" s="136"/>
      <c r="AM357" s="136"/>
      <c r="AN357" s="136"/>
      <c r="AO357" s="136"/>
    </row>
    <row r="358" spans="1:41" ht="12.75" customHeight="1">
      <c r="A358" s="102"/>
      <c r="B358" s="597"/>
      <c r="C358" s="597"/>
      <c r="D358" s="603"/>
      <c r="E358" s="597"/>
      <c r="F358" s="597"/>
      <c r="G358" s="599"/>
      <c r="H358" s="597"/>
      <c r="I358" s="102"/>
      <c r="J358" s="119"/>
      <c r="K358" s="119"/>
      <c r="L358" s="119"/>
      <c r="M358" s="119"/>
      <c r="N358" s="119"/>
      <c r="O358" s="119"/>
      <c r="P358" s="119"/>
      <c r="Q358" s="602">
        <f t="shared" si="44"/>
        <v>0</v>
      </c>
      <c r="R358" s="135"/>
      <c r="S358" s="136"/>
      <c r="U358" s="136"/>
      <c r="V358" s="136"/>
      <c r="W358" s="136"/>
      <c r="X358" s="136"/>
      <c r="Y358" s="136"/>
      <c r="Z358" s="136"/>
      <c r="AA358" s="136"/>
      <c r="AB358" s="136"/>
      <c r="AC358" s="136"/>
      <c r="AD358" s="136"/>
      <c r="AE358" s="136"/>
      <c r="AF358" s="136"/>
      <c r="AG358" s="136"/>
      <c r="AH358" s="136"/>
      <c r="AI358" s="136"/>
      <c r="AJ358" s="136"/>
      <c r="AK358" s="136"/>
      <c r="AL358" s="136"/>
      <c r="AM358" s="136"/>
      <c r="AN358" s="136"/>
      <c r="AO358" s="136"/>
    </row>
    <row r="359" spans="1:41" ht="15.75" customHeight="1">
      <c r="A359" s="102" t="s">
        <v>224</v>
      </c>
      <c r="B359" s="597">
        <f>('Pivot Table for Data Exchange'!$N$295)*100</f>
        <v>87.860860969092229</v>
      </c>
      <c r="C359" s="597">
        <f>('Pivot Table for Data Exchange'!$N$298)*100</f>
        <v>0</v>
      </c>
      <c r="D359" s="603">
        <f>SUM(E359:G359)</f>
        <v>12.139139030907771</v>
      </c>
      <c r="E359" s="597">
        <f>('Pivot Table for Data Exchange'!$N$301)*100</f>
        <v>12.139139030907771</v>
      </c>
      <c r="F359" s="597">
        <f>('Pivot Table for Data Exchange'!$N$304)*100</f>
        <v>0</v>
      </c>
      <c r="G359" s="599">
        <f>('Pivot Table for Data Exchange'!$N$307)*100</f>
        <v>0</v>
      </c>
      <c r="H359" s="597">
        <f>('Pivot Table for Data Exchange'!$N$310)*100</f>
        <v>0</v>
      </c>
      <c r="I359" s="124"/>
      <c r="J359" s="119"/>
      <c r="K359" s="119"/>
      <c r="L359" s="119"/>
      <c r="M359" s="119"/>
      <c r="N359" s="119"/>
      <c r="O359" s="119"/>
      <c r="P359" s="119"/>
      <c r="Q359" s="602">
        <f t="shared" si="44"/>
        <v>100</v>
      </c>
      <c r="R359" s="135"/>
      <c r="S359" s="136"/>
      <c r="T359" s="136"/>
      <c r="U359" s="136"/>
      <c r="V359" s="136"/>
      <c r="W359" s="136"/>
      <c r="X359" s="136"/>
      <c r="Y359" s="136"/>
      <c r="Z359" s="136"/>
      <c r="AA359" s="136"/>
      <c r="AB359" s="136"/>
      <c r="AC359" s="136"/>
      <c r="AD359" s="136"/>
      <c r="AE359" s="136"/>
      <c r="AF359" s="136"/>
      <c r="AG359" s="136"/>
      <c r="AH359" s="136"/>
      <c r="AI359" s="136"/>
      <c r="AJ359" s="136"/>
      <c r="AK359" s="136"/>
      <c r="AL359" s="136"/>
      <c r="AM359" s="136"/>
      <c r="AN359" s="136"/>
      <c r="AO359" s="136"/>
    </row>
    <row r="360" spans="1:41" ht="15.75" customHeight="1">
      <c r="A360" s="102" t="s">
        <v>184</v>
      </c>
      <c r="B360" s="597">
        <f>('Pivot Table for Data Exchange'!$N$331)*100</f>
        <v>60.838098589484183</v>
      </c>
      <c r="C360" s="597">
        <f>('Pivot Table for Data Exchange'!$N$334)*100</f>
        <v>3.2068267792733347</v>
      </c>
      <c r="D360" s="603">
        <f>SUM(E360:G360)</f>
        <v>35.955074631242482</v>
      </c>
      <c r="E360" s="597">
        <f>('Pivot Table for Data Exchange'!$N$337)*100</f>
        <v>34.002287322952405</v>
      </c>
      <c r="F360" s="597">
        <f>('Pivot Table for Data Exchange'!$N$340)*100</f>
        <v>1.2925134160288554</v>
      </c>
      <c r="G360" s="599">
        <f>('Pivot Table for Data Exchange'!$N$343)*100</f>
        <v>0.66027389226122402</v>
      </c>
      <c r="H360" s="597">
        <f>('Pivot Table for Data Exchange'!$N$346)*100</f>
        <v>0</v>
      </c>
      <c r="I360" s="102"/>
      <c r="J360" s="119"/>
      <c r="K360" s="119"/>
      <c r="L360" s="119"/>
      <c r="M360" s="119"/>
      <c r="N360" s="119"/>
      <c r="O360" s="119"/>
      <c r="P360" s="119"/>
      <c r="Q360" s="602">
        <f t="shared" si="44"/>
        <v>100</v>
      </c>
      <c r="R360" s="135"/>
      <c r="S360" s="136"/>
      <c r="T360" s="136"/>
      <c r="U360" s="136"/>
      <c r="V360" s="136"/>
      <c r="W360" s="136"/>
      <c r="X360" s="136"/>
      <c r="Y360" s="136"/>
      <c r="Z360" s="136"/>
      <c r="AA360" s="136"/>
      <c r="AB360" s="136"/>
      <c r="AC360" s="136"/>
      <c r="AD360" s="136"/>
      <c r="AE360" s="136"/>
      <c r="AF360" s="136"/>
      <c r="AG360" s="136"/>
      <c r="AH360" s="136"/>
      <c r="AI360" s="136"/>
      <c r="AJ360" s="136"/>
      <c r="AK360" s="136"/>
      <c r="AL360" s="136"/>
      <c r="AM360" s="136"/>
      <c r="AN360" s="136"/>
      <c r="AO360" s="136"/>
    </row>
    <row r="361" spans="1:41" ht="15.75" customHeight="1">
      <c r="A361" s="102" t="s">
        <v>185</v>
      </c>
      <c r="B361" s="597">
        <f>('Pivot Table for Data Exchange'!$N$367)*100</f>
        <v>57.752895304537354</v>
      </c>
      <c r="C361" s="597">
        <f>('Pivot Table for Data Exchange'!$N$370)*100</f>
        <v>8.2446392760957039</v>
      </c>
      <c r="D361" s="603">
        <f>SUM(E361:G361)</f>
        <v>34.002465419366942</v>
      </c>
      <c r="E361" s="597">
        <f>('Pivot Table for Data Exchange'!$N$373)*100</f>
        <v>23.358508599936577</v>
      </c>
      <c r="F361" s="597">
        <f>('Pivot Table for Data Exchange'!$N$376)*100</f>
        <v>4.972375690607735</v>
      </c>
      <c r="G361" s="599">
        <f>('Pivot Table for Data Exchange'!$N$379)*100</f>
        <v>5.6715811288226279</v>
      </c>
      <c r="H361" s="597">
        <f>('Pivot Table for Data Exchange'!$N$382)*100</f>
        <v>0</v>
      </c>
      <c r="I361" s="102"/>
      <c r="J361" s="119"/>
      <c r="K361" s="119"/>
      <c r="L361" s="119"/>
      <c r="M361" s="119"/>
      <c r="N361" s="119"/>
      <c r="O361" s="119"/>
      <c r="P361" s="119"/>
      <c r="Q361" s="602">
        <f t="shared" si="44"/>
        <v>100</v>
      </c>
      <c r="R361" s="135"/>
      <c r="S361" s="136"/>
      <c r="T361" s="142"/>
      <c r="U361" s="136"/>
      <c r="V361" s="136"/>
      <c r="W361" s="136"/>
      <c r="X361" s="136"/>
      <c r="Y361" s="136"/>
      <c r="Z361" s="136"/>
      <c r="AA361" s="136"/>
      <c r="AB361" s="136"/>
      <c r="AC361" s="136"/>
      <c r="AD361" s="136"/>
      <c r="AE361" s="136"/>
      <c r="AF361" s="136"/>
      <c r="AG361" s="136"/>
      <c r="AH361" s="136"/>
      <c r="AI361" s="136"/>
      <c r="AJ361" s="136"/>
      <c r="AK361" s="136"/>
      <c r="AL361" s="136"/>
      <c r="AM361" s="136"/>
      <c r="AN361" s="136"/>
      <c r="AO361" s="136"/>
    </row>
    <row r="362" spans="1:41" ht="15.75" customHeight="1">
      <c r="A362" s="102" t="s">
        <v>186</v>
      </c>
      <c r="B362" s="597">
        <f>('Pivot Table for Data Exchange'!$N$403)*100</f>
        <v>86.163715731842473</v>
      </c>
      <c r="C362" s="597">
        <f>('Pivot Table for Data Exchange'!$N$406)*100</f>
        <v>3.8073048815140003</v>
      </c>
      <c r="D362" s="603">
        <f>SUM(E362:G362)</f>
        <v>10.028979386643531</v>
      </c>
      <c r="E362" s="597">
        <f>('Pivot Table for Data Exchange'!$N$409)*100</f>
        <v>8.0892195306901051</v>
      </c>
      <c r="F362" s="597">
        <f>('Pivot Table for Data Exchange'!$N$412)*100</f>
        <v>1.9397598559534255</v>
      </c>
      <c r="G362" s="599">
        <f>('Pivot Table for Data Exchange'!$N$415)*100</f>
        <v>0</v>
      </c>
      <c r="H362" s="597">
        <f>('Pivot Table for Data Exchange'!$N$418)*100</f>
        <v>0</v>
      </c>
      <c r="I362" s="102"/>
      <c r="J362" s="119"/>
      <c r="K362" s="119"/>
      <c r="L362" s="119"/>
      <c r="M362" s="119"/>
      <c r="N362" s="119"/>
      <c r="O362" s="119"/>
      <c r="P362" s="119"/>
      <c r="Q362" s="602">
        <f t="shared" si="44"/>
        <v>100</v>
      </c>
      <c r="R362" s="135"/>
      <c r="S362" s="136"/>
      <c r="T362" s="136"/>
      <c r="U362" s="136"/>
      <c r="V362" s="136"/>
      <c r="W362" s="136"/>
      <c r="X362" s="136"/>
      <c r="Y362" s="136"/>
      <c r="Z362" s="136"/>
      <c r="AA362" s="136"/>
      <c r="AB362" s="136"/>
      <c r="AC362" s="136"/>
      <c r="AD362" s="136"/>
      <c r="AE362" s="136"/>
      <c r="AF362" s="136"/>
      <c r="AG362" s="136"/>
      <c r="AH362" s="136"/>
      <c r="AI362" s="136"/>
      <c r="AJ362" s="136"/>
      <c r="AK362" s="136"/>
      <c r="AL362" s="136"/>
      <c r="AM362" s="136"/>
      <c r="AN362" s="136"/>
      <c r="AO362" s="136"/>
    </row>
    <row r="363" spans="1:41" ht="12" customHeight="1">
      <c r="A363" s="102"/>
      <c r="B363" s="597"/>
      <c r="C363" s="597"/>
      <c r="D363" s="603"/>
      <c r="E363" s="597"/>
      <c r="F363" s="597"/>
      <c r="G363" s="599"/>
      <c r="H363" s="597"/>
      <c r="I363" s="102"/>
      <c r="J363" s="119"/>
      <c r="K363" s="119"/>
      <c r="L363" s="119"/>
      <c r="M363" s="119"/>
      <c r="N363" s="119"/>
      <c r="O363" s="119"/>
      <c r="P363" s="119"/>
      <c r="Q363" s="602">
        <f t="shared" si="44"/>
        <v>0</v>
      </c>
      <c r="R363" s="135"/>
      <c r="S363" s="136"/>
      <c r="T363" s="136"/>
      <c r="U363" s="136"/>
      <c r="V363" s="136"/>
      <c r="W363" s="136"/>
      <c r="X363" s="136"/>
      <c r="Y363" s="136"/>
      <c r="Z363" s="136"/>
      <c r="AA363" s="136"/>
      <c r="AB363" s="136"/>
      <c r="AC363" s="136"/>
      <c r="AD363" s="136"/>
      <c r="AE363" s="136"/>
      <c r="AF363" s="136"/>
      <c r="AG363" s="136"/>
      <c r="AH363" s="136"/>
      <c r="AI363" s="136"/>
      <c r="AJ363" s="136"/>
      <c r="AK363" s="136"/>
      <c r="AL363" s="136"/>
      <c r="AM363" s="136"/>
      <c r="AN363" s="136"/>
      <c r="AO363" s="136"/>
    </row>
    <row r="364" spans="1:41" ht="15.75" customHeight="1">
      <c r="A364" s="102" t="s">
        <v>187</v>
      </c>
      <c r="B364" s="597">
        <f>('Pivot Table for Data Exchange'!$N$439)*100</f>
        <v>0</v>
      </c>
      <c r="C364" s="597">
        <f>('Pivot Table for Data Exchange'!$N$442)*100</f>
        <v>0</v>
      </c>
      <c r="D364" s="603">
        <f>SUM(E364:G364)</f>
        <v>0</v>
      </c>
      <c r="E364" s="597">
        <f>('Pivot Table for Data Exchange'!$N$445)*100</f>
        <v>0</v>
      </c>
      <c r="F364" s="597">
        <f>('Pivot Table for Data Exchange'!$N$448)*100</f>
        <v>0</v>
      </c>
      <c r="G364" s="599">
        <f>('Pivot Table for Data Exchange'!$N$451)*100</f>
        <v>0</v>
      </c>
      <c r="H364" s="597">
        <f>('Pivot Table for Data Exchange'!$N$454)*100</f>
        <v>0</v>
      </c>
      <c r="I364" s="102"/>
      <c r="J364" s="119"/>
      <c r="K364" s="119"/>
      <c r="L364" s="119"/>
      <c r="M364" s="119"/>
      <c r="N364" s="119"/>
      <c r="O364" s="119"/>
      <c r="P364" s="119"/>
      <c r="Q364" s="602">
        <f t="shared" si="44"/>
        <v>0</v>
      </c>
      <c r="R364" s="135"/>
      <c r="S364" s="136"/>
      <c r="T364" s="136"/>
      <c r="U364" s="136"/>
      <c r="V364" s="136"/>
      <c r="W364" s="136"/>
      <c r="X364" s="136"/>
      <c r="Y364" s="136"/>
      <c r="Z364" s="136"/>
      <c r="AA364" s="136"/>
      <c r="AB364" s="136"/>
      <c r="AC364" s="136"/>
      <c r="AD364" s="136"/>
      <c r="AE364" s="136"/>
      <c r="AF364" s="136"/>
      <c r="AG364" s="136"/>
      <c r="AH364" s="136"/>
      <c r="AI364" s="136"/>
      <c r="AJ364" s="136"/>
      <c r="AK364" s="136"/>
      <c r="AL364" s="136"/>
      <c r="AM364" s="136"/>
      <c r="AN364" s="136"/>
      <c r="AO364" s="136"/>
    </row>
    <row r="365" spans="1:41" ht="15.75" customHeight="1">
      <c r="A365" s="102" t="s">
        <v>188</v>
      </c>
      <c r="B365" s="597">
        <f>('Pivot Table for Data Exchange'!$N$475)*100</f>
        <v>61.344364111833251</v>
      </c>
      <c r="C365" s="597">
        <f>('Pivot Table for Data Exchange'!$N$478)*100</f>
        <v>14.229127408375957</v>
      </c>
      <c r="D365" s="603">
        <f>SUM(E365:G365)</f>
        <v>24.426508479790794</v>
      </c>
      <c r="E365" s="597">
        <f>('Pivot Table for Data Exchange'!$N$481)*100</f>
        <v>21.692208591316387</v>
      </c>
      <c r="F365" s="597">
        <f>('Pivot Table for Data Exchange'!$N$484)*100</f>
        <v>1.970205360919894</v>
      </c>
      <c r="G365" s="599">
        <f>('Pivot Table for Data Exchange'!$N$487)*100</f>
        <v>0.76409452755451301</v>
      </c>
      <c r="H365" s="597">
        <f>('Pivot Table for Data Exchange'!$N$490)*100</f>
        <v>0</v>
      </c>
      <c r="I365" s="102"/>
      <c r="J365" s="119"/>
      <c r="K365" s="119"/>
      <c r="L365" s="119"/>
      <c r="M365" s="119"/>
      <c r="N365" s="119"/>
      <c r="O365" s="119"/>
      <c r="P365" s="119"/>
      <c r="Q365" s="602">
        <f t="shared" si="44"/>
        <v>100</v>
      </c>
      <c r="R365" s="135"/>
      <c r="S365" s="136"/>
      <c r="T365" s="136"/>
      <c r="U365" s="136"/>
      <c r="V365" s="136"/>
      <c r="W365" s="136"/>
      <c r="X365" s="136"/>
      <c r="Y365" s="136"/>
      <c r="Z365" s="136"/>
      <c r="AA365" s="136"/>
      <c r="AB365" s="136"/>
      <c r="AC365" s="136"/>
      <c r="AD365" s="136"/>
      <c r="AE365" s="136"/>
      <c r="AF365" s="136"/>
      <c r="AG365" s="136"/>
      <c r="AH365" s="136"/>
      <c r="AI365" s="136"/>
      <c r="AJ365" s="136"/>
      <c r="AK365" s="136"/>
      <c r="AL365" s="136"/>
      <c r="AM365" s="136"/>
      <c r="AN365" s="136"/>
      <c r="AO365" s="136"/>
    </row>
    <row r="366" spans="1:41" ht="15.75" customHeight="1">
      <c r="A366" s="102" t="s">
        <v>189</v>
      </c>
      <c r="B366" s="597">
        <f>('Pivot Table for Data Exchange'!$N$511)*100</f>
        <v>58.590924689174564</v>
      </c>
      <c r="C366" s="597">
        <f>('Pivot Table for Data Exchange'!$N$514)*100</f>
        <v>16.355357284269989</v>
      </c>
      <c r="D366" s="603">
        <f>SUM(E366:G366)</f>
        <v>25.053718026555451</v>
      </c>
      <c r="E366" s="597">
        <f>('Pivot Table for Data Exchange'!$N$517)*100</f>
        <v>16.914711084127447</v>
      </c>
      <c r="F366" s="597">
        <f>('Pivot Table for Data Exchange'!$N$520)*100</f>
        <v>8.1390069424280025</v>
      </c>
      <c r="G366" s="599">
        <f>('Pivot Table for Data Exchange'!$N$523)*100</f>
        <v>0</v>
      </c>
      <c r="H366" s="597">
        <f>('Pivot Table for Data Exchange'!$N$526)*100</f>
        <v>0</v>
      </c>
      <c r="I366" s="102"/>
      <c r="J366" s="119"/>
      <c r="K366" s="119"/>
      <c r="L366" s="119"/>
      <c r="M366" s="119"/>
      <c r="N366" s="119"/>
      <c r="O366" s="119"/>
      <c r="P366" s="119"/>
      <c r="Q366" s="602">
        <f t="shared" si="44"/>
        <v>100</v>
      </c>
      <c r="R366" s="135"/>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row>
    <row r="367" spans="1:41" ht="15.75" customHeight="1">
      <c r="A367" s="76" t="s">
        <v>226</v>
      </c>
      <c r="B367" s="600">
        <f>('Pivot Table for Data Exchange'!$N$547)*100</f>
        <v>62.090741439977236</v>
      </c>
      <c r="C367" s="600">
        <f>('Pivot Table for Data Exchange'!$N$550)*100</f>
        <v>19.266002331193668</v>
      </c>
      <c r="D367" s="604">
        <f>SUM(E367:G367)</f>
        <v>18.643256228829099</v>
      </c>
      <c r="E367" s="600">
        <f>('Pivot Table for Data Exchange'!$N$553)*100</f>
        <v>16.693207251872892</v>
      </c>
      <c r="F367" s="600">
        <f>('Pivot Table for Data Exchange'!$N$556)*100</f>
        <v>1.8991567207875715</v>
      </c>
      <c r="G367" s="601">
        <f>('Pivot Table for Data Exchange'!$N$559)*100</f>
        <v>5.0892256168633958E-2</v>
      </c>
      <c r="H367" s="600">
        <f>('Pivot Table for Data Exchange'!$N$562)*100</f>
        <v>0</v>
      </c>
      <c r="I367" s="102"/>
      <c r="J367" s="119"/>
      <c r="K367" s="119"/>
      <c r="L367" s="119"/>
      <c r="M367" s="119"/>
      <c r="N367" s="119"/>
      <c r="O367" s="119"/>
      <c r="P367" s="119"/>
      <c r="Q367" s="602">
        <f t="shared" si="44"/>
        <v>100</v>
      </c>
      <c r="R367" s="135"/>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row>
    <row r="368" spans="1:41" s="141" customFormat="1" ht="18" customHeight="1">
      <c r="A368" s="43" t="s">
        <v>219</v>
      </c>
      <c r="B368" s="106"/>
      <c r="C368" s="106"/>
      <c r="D368" s="107"/>
      <c r="E368" s="106"/>
      <c r="F368" s="107"/>
      <c r="G368" s="107"/>
      <c r="H368" s="106"/>
      <c r="I368" s="43"/>
      <c r="J368" s="106"/>
      <c r="K368" s="106"/>
      <c r="L368" s="107"/>
      <c r="M368" s="106"/>
      <c r="N368" s="107"/>
      <c r="O368" s="107"/>
      <c r="P368" s="106"/>
      <c r="Q368" s="602">
        <f t="shared" si="44"/>
        <v>0</v>
      </c>
      <c r="R368" s="139"/>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row>
    <row r="369" spans="1:41" s="141" customFormat="1" ht="27.75" customHeight="1">
      <c r="A369" s="655" t="s">
        <v>225</v>
      </c>
      <c r="B369" s="657"/>
      <c r="C369" s="657"/>
      <c r="D369" s="657"/>
      <c r="E369" s="657"/>
      <c r="F369" s="657"/>
      <c r="G369" s="657"/>
      <c r="H369" s="657"/>
      <c r="I369" s="43"/>
      <c r="J369" s="45"/>
      <c r="K369" s="45"/>
      <c r="L369" s="45"/>
      <c r="M369" s="45"/>
      <c r="N369" s="45"/>
      <c r="O369" s="45"/>
      <c r="P369" s="115"/>
      <c r="Q369" s="602">
        <f t="shared" si="44"/>
        <v>0</v>
      </c>
      <c r="R369" s="144"/>
    </row>
    <row r="370" spans="1:41" s="141" customFormat="1" ht="13.5" customHeight="1">
      <c r="A370" s="113"/>
      <c r="B370" s="45"/>
      <c r="C370" s="45"/>
      <c r="D370" s="45"/>
      <c r="E370" s="45"/>
      <c r="F370" s="45"/>
      <c r="G370" s="45"/>
      <c r="H370" s="47"/>
      <c r="I370" s="113"/>
      <c r="J370" s="45"/>
      <c r="K370" s="45"/>
      <c r="L370" s="45"/>
      <c r="M370" s="45"/>
      <c r="N370" s="45"/>
      <c r="O370" s="45"/>
      <c r="P370" s="45"/>
      <c r="Q370" s="602">
        <f t="shared" si="44"/>
        <v>0</v>
      </c>
      <c r="R370" s="144"/>
    </row>
    <row r="371" spans="1:41" s="141" customFormat="1">
      <c r="A371" s="47"/>
      <c r="B371" s="106"/>
      <c r="C371" s="106"/>
      <c r="D371" s="107"/>
      <c r="E371" s="106"/>
      <c r="F371" s="107"/>
      <c r="G371" s="107"/>
      <c r="H371" s="49" t="s">
        <v>900</v>
      </c>
      <c r="I371" s="123"/>
      <c r="J371" s="47"/>
      <c r="K371" s="47"/>
      <c r="L371" s="47"/>
      <c r="M371" s="47"/>
      <c r="N371" s="47"/>
      <c r="O371" s="47"/>
      <c r="P371" s="47"/>
      <c r="Q371" s="602">
        <f t="shared" si="44"/>
        <v>0</v>
      </c>
      <c r="R371" s="139"/>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row>
    <row r="372" spans="1:41" ht="18">
      <c r="A372" s="16" t="s">
        <v>277</v>
      </c>
      <c r="B372" s="71"/>
      <c r="C372" s="71"/>
      <c r="D372" s="71"/>
      <c r="E372" s="71"/>
      <c r="F372" s="71"/>
      <c r="G372" s="71"/>
      <c r="H372" s="72"/>
      <c r="I372" s="118"/>
      <c r="J372" s="102"/>
      <c r="K372" s="102"/>
      <c r="L372" s="102"/>
      <c r="M372" s="102"/>
      <c r="N372" s="102"/>
      <c r="O372" s="102"/>
      <c r="P372" s="102"/>
      <c r="Q372" s="602">
        <f t="shared" si="44"/>
        <v>0</v>
      </c>
    </row>
    <row r="373" spans="1:41">
      <c r="A373" s="22"/>
      <c r="B373" s="23"/>
      <c r="C373" s="23"/>
      <c r="D373" s="23"/>
      <c r="E373" s="23"/>
      <c r="F373" s="23"/>
      <c r="G373" s="23"/>
      <c r="H373" s="73"/>
      <c r="I373" s="118"/>
      <c r="J373" s="102"/>
      <c r="K373" s="102"/>
      <c r="L373" s="102"/>
      <c r="M373" s="102"/>
      <c r="N373" s="102"/>
      <c r="O373" s="102"/>
      <c r="P373" s="102"/>
      <c r="Q373" s="602">
        <f t="shared" si="44"/>
        <v>0</v>
      </c>
    </row>
    <row r="374" spans="1:41" ht="15.75">
      <c r="A374" s="74" t="s">
        <v>205</v>
      </c>
      <c r="B374" s="23"/>
      <c r="C374" s="23"/>
      <c r="D374" s="23"/>
      <c r="E374" s="23"/>
      <c r="F374" s="23"/>
      <c r="G374" s="23"/>
      <c r="H374" s="73"/>
      <c r="I374" s="118"/>
      <c r="J374" s="102"/>
      <c r="K374" s="102"/>
      <c r="L374" s="102"/>
      <c r="M374" s="102"/>
      <c r="N374" s="102"/>
      <c r="O374" s="102"/>
      <c r="P374" s="102"/>
      <c r="Q374" s="602">
        <f t="shared" si="44"/>
        <v>0</v>
      </c>
    </row>
    <row r="375" spans="1:41" ht="15.75">
      <c r="A375" s="74" t="s">
        <v>893</v>
      </c>
      <c r="B375" s="23"/>
      <c r="C375" s="23"/>
      <c r="D375" s="23"/>
      <c r="E375" s="23"/>
      <c r="F375" s="23"/>
      <c r="G375" s="23"/>
      <c r="H375" s="73"/>
      <c r="I375" s="118"/>
      <c r="J375" s="102"/>
      <c r="K375" s="102"/>
      <c r="L375" s="102"/>
      <c r="M375" s="102"/>
      <c r="N375" s="102"/>
      <c r="O375" s="102"/>
      <c r="P375" s="102"/>
      <c r="Q375" s="602">
        <f t="shared" si="44"/>
        <v>0</v>
      </c>
    </row>
    <row r="376" spans="1:41">
      <c r="A376" s="76"/>
      <c r="B376" s="77"/>
      <c r="C376" s="77"/>
      <c r="D376" s="77"/>
      <c r="E376" s="77"/>
      <c r="F376" s="77"/>
      <c r="G376" s="77"/>
      <c r="H376" s="77"/>
      <c r="I376" s="118"/>
      <c r="J376" s="102"/>
      <c r="K376" s="102"/>
      <c r="L376" s="102"/>
      <c r="M376" s="102"/>
      <c r="N376" s="102"/>
      <c r="O376" s="102"/>
      <c r="P376" s="102"/>
      <c r="Q376" s="602">
        <f t="shared" si="44"/>
        <v>0</v>
      </c>
    </row>
    <row r="377" spans="1:41">
      <c r="A377" s="80"/>
      <c r="B377" s="81" t="s">
        <v>207</v>
      </c>
      <c r="C377" s="81"/>
      <c r="D377" s="81"/>
      <c r="E377" s="81"/>
      <c r="F377" s="81"/>
      <c r="G377" s="81"/>
      <c r="H377" s="82"/>
      <c r="I377" s="118"/>
      <c r="J377" s="102"/>
      <c r="K377" s="102"/>
      <c r="L377" s="102"/>
      <c r="M377" s="102"/>
      <c r="N377" s="102"/>
      <c r="O377" s="102"/>
      <c r="P377" s="102"/>
      <c r="Q377" s="602">
        <f t="shared" si="44"/>
        <v>0</v>
      </c>
    </row>
    <row r="378" spans="1:41">
      <c r="A378" s="80"/>
      <c r="B378" s="81" t="s">
        <v>208</v>
      </c>
      <c r="C378" s="81"/>
      <c r="D378" s="653" t="s">
        <v>209</v>
      </c>
      <c r="E378" s="654"/>
      <c r="F378" s="654"/>
      <c r="G378" s="654"/>
      <c r="H378" s="86" t="s">
        <v>39</v>
      </c>
      <c r="I378" s="118"/>
      <c r="J378" s="102"/>
      <c r="K378" s="102"/>
      <c r="L378" s="102"/>
      <c r="M378" s="102"/>
      <c r="N378" s="102"/>
      <c r="O378" s="102"/>
      <c r="P378" s="102"/>
      <c r="Q378" s="602">
        <f t="shared" si="44"/>
        <v>0</v>
      </c>
    </row>
    <row r="379" spans="1:41" ht="36">
      <c r="A379" s="80"/>
      <c r="B379" s="87" t="s">
        <v>210</v>
      </c>
      <c r="C379" s="88" t="s">
        <v>211</v>
      </c>
      <c r="D379" s="89" t="s">
        <v>212</v>
      </c>
      <c r="E379" s="90" t="s">
        <v>7</v>
      </c>
      <c r="F379" s="87" t="s">
        <v>213</v>
      </c>
      <c r="G379" s="91" t="s">
        <v>214</v>
      </c>
      <c r="H379" s="92" t="s">
        <v>215</v>
      </c>
      <c r="I379" s="118"/>
      <c r="J379" s="102"/>
      <c r="K379" s="102"/>
      <c r="L379" s="102"/>
      <c r="M379" s="102"/>
      <c r="N379" s="102"/>
      <c r="O379" s="102"/>
      <c r="P379" s="102"/>
      <c r="Q379" s="602">
        <f t="shared" si="44"/>
        <v>0</v>
      </c>
    </row>
    <row r="380" spans="1:41" ht="15.75" customHeight="1">
      <c r="A380" s="99" t="s">
        <v>175</v>
      </c>
      <c r="B380" s="120">
        <f>('Pivot Table for Data Exchange'!$R$7)*100</f>
        <v>57.234312908212402</v>
      </c>
      <c r="C380" s="597">
        <f>('Pivot Table for Data Exchange'!$R$10)*100</f>
        <v>32.737926624958519</v>
      </c>
      <c r="D380" s="603">
        <f>SUM(E380:G380)</f>
        <v>10.027760466829076</v>
      </c>
      <c r="E380" s="597">
        <f>('Pivot Table for Data Exchange'!$R$13)*100</f>
        <v>10.027760466829076</v>
      </c>
      <c r="F380" s="597">
        <f>('Pivot Table for Data Exchange'!$R$16)*100</f>
        <v>0</v>
      </c>
      <c r="G380" s="97">
        <f>('Pivot Table for Data Exchange'!$R$19)*100</f>
        <v>0</v>
      </c>
      <c r="H380" s="597">
        <f>('Pivot Table for Data Exchange'!$R$22)*100</f>
        <v>0</v>
      </c>
      <c r="I380" s="102"/>
      <c r="J380" s="119"/>
      <c r="K380" s="119"/>
      <c r="L380" s="119"/>
      <c r="M380" s="119"/>
      <c r="N380" s="119"/>
      <c r="O380" s="119"/>
      <c r="P380" s="119"/>
      <c r="Q380" s="602">
        <f t="shared" si="44"/>
        <v>100</v>
      </c>
      <c r="R380" s="135"/>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row>
    <row r="381" spans="1:41" ht="15.75" customHeight="1">
      <c r="A381" s="102" t="s">
        <v>176</v>
      </c>
      <c r="B381" s="597">
        <f>('Pivot Table for Data Exchange'!$R$43)*100</f>
        <v>0</v>
      </c>
      <c r="C381" s="597">
        <f>('Pivot Table for Data Exchange'!$R$46)*100</f>
        <v>0</v>
      </c>
      <c r="D381" s="603">
        <f t="shared" ref="D381:D383" si="47">SUM(E381:G381)</f>
        <v>0</v>
      </c>
      <c r="E381" s="597">
        <f>('Pivot Table for Data Exchange'!$R$49)*100</f>
        <v>0</v>
      </c>
      <c r="F381" s="597">
        <f>('Pivot Table for Data Exchange'!$R$52)*100</f>
        <v>0</v>
      </c>
      <c r="G381" s="599">
        <f>('Pivot Table for Data Exchange'!$R$55)*100</f>
        <v>0</v>
      </c>
      <c r="H381" s="597">
        <f>('Pivot Table for Data Exchange'!$R$58)*100</f>
        <v>0</v>
      </c>
      <c r="I381" s="102"/>
      <c r="J381" s="119"/>
      <c r="K381" s="119"/>
      <c r="L381" s="119"/>
      <c r="M381" s="119"/>
      <c r="N381" s="119"/>
      <c r="O381" s="119"/>
      <c r="P381" s="119"/>
      <c r="Q381" s="602">
        <f t="shared" si="44"/>
        <v>0</v>
      </c>
      <c r="R381" s="135"/>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row>
    <row r="382" spans="1:41" ht="15.75" customHeight="1">
      <c r="A382" s="102" t="s">
        <v>177</v>
      </c>
      <c r="B382" s="597">
        <f>('Pivot Table for Data Exchange'!$R$79)*100</f>
        <v>0</v>
      </c>
      <c r="C382" s="597">
        <f>('Pivot Table for Data Exchange'!$R$82)*100</f>
        <v>0</v>
      </c>
      <c r="D382" s="603">
        <f t="shared" si="47"/>
        <v>0</v>
      </c>
      <c r="E382" s="597">
        <f>('Pivot Table for Data Exchange'!$R$85)*100</f>
        <v>0</v>
      </c>
      <c r="F382" s="597">
        <f>('Pivot Table for Data Exchange'!$R$88)*100</f>
        <v>0</v>
      </c>
      <c r="G382" s="599">
        <f>('Pivot Table for Data Exchange'!$R$91)*100</f>
        <v>0</v>
      </c>
      <c r="H382" s="597">
        <f>('Pivot Table for Data Exchange'!$R$94)*100</f>
        <v>0</v>
      </c>
      <c r="I382" s="102"/>
      <c r="J382" s="119"/>
      <c r="K382" s="119"/>
      <c r="L382" s="119"/>
      <c r="M382" s="119"/>
      <c r="N382" s="119"/>
      <c r="O382" s="119"/>
      <c r="P382" s="119"/>
      <c r="Q382" s="602">
        <f t="shared" si="44"/>
        <v>0</v>
      </c>
      <c r="R382" s="135"/>
      <c r="S382" s="136"/>
      <c r="T382" s="142"/>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row>
    <row r="383" spans="1:41" ht="15.75" customHeight="1">
      <c r="A383" s="102" t="s">
        <v>178</v>
      </c>
      <c r="B383" s="597">
        <f>('Pivot Table for Data Exchange'!$R$115)*100</f>
        <v>0</v>
      </c>
      <c r="C383" s="597">
        <f>('Pivot Table for Data Exchange'!$R$118)*100</f>
        <v>0</v>
      </c>
      <c r="D383" s="603">
        <f t="shared" si="47"/>
        <v>0</v>
      </c>
      <c r="E383" s="597">
        <f>('Pivot Table for Data Exchange'!$R$121)*100</f>
        <v>0</v>
      </c>
      <c r="F383" s="597">
        <f>('Pivot Table for Data Exchange'!$R$124)*100</f>
        <v>0</v>
      </c>
      <c r="G383" s="599">
        <f>('Pivot Table for Data Exchange'!$R$127)*100</f>
        <v>0</v>
      </c>
      <c r="H383" s="597">
        <f>('Pivot Table for Data Exchange'!$R$130)*100</f>
        <v>0</v>
      </c>
      <c r="I383" s="102"/>
      <c r="J383" s="119"/>
      <c r="K383" s="119"/>
      <c r="L383" s="119"/>
      <c r="M383" s="119"/>
      <c r="N383" s="119"/>
      <c r="O383" s="119"/>
      <c r="P383" s="119"/>
      <c r="Q383" s="602">
        <f t="shared" si="44"/>
        <v>0</v>
      </c>
      <c r="R383" s="135"/>
      <c r="S383" s="136"/>
      <c r="U383" s="136"/>
      <c r="V383" s="136"/>
      <c r="W383" s="136"/>
      <c r="X383" s="136"/>
      <c r="Y383" s="136"/>
      <c r="Z383" s="136"/>
      <c r="AA383" s="136"/>
      <c r="AB383" s="136"/>
      <c r="AC383" s="136"/>
      <c r="AD383" s="136"/>
      <c r="AE383" s="136"/>
      <c r="AF383" s="136"/>
      <c r="AG383" s="136"/>
      <c r="AH383" s="136"/>
      <c r="AI383" s="136"/>
      <c r="AJ383" s="136"/>
      <c r="AK383" s="136"/>
      <c r="AL383" s="136"/>
      <c r="AM383" s="136"/>
      <c r="AN383" s="136"/>
      <c r="AO383" s="136"/>
    </row>
    <row r="384" spans="1:41" ht="15.75" customHeight="1">
      <c r="A384" s="102"/>
      <c r="B384" s="597"/>
      <c r="C384" s="597"/>
      <c r="D384" s="603"/>
      <c r="E384" s="597"/>
      <c r="F384" s="597"/>
      <c r="G384" s="599"/>
      <c r="H384" s="597"/>
      <c r="I384" s="102"/>
      <c r="J384" s="119"/>
      <c r="K384" s="119"/>
      <c r="L384" s="119"/>
      <c r="M384" s="119"/>
      <c r="N384" s="119"/>
      <c r="O384" s="119"/>
      <c r="P384" s="119"/>
      <c r="Q384" s="602">
        <f t="shared" si="44"/>
        <v>0</v>
      </c>
      <c r="R384" s="135"/>
      <c r="S384" s="136"/>
      <c r="U384" s="136"/>
      <c r="V384" s="136"/>
      <c r="W384" s="136"/>
      <c r="X384" s="136"/>
      <c r="Y384" s="136"/>
      <c r="Z384" s="136"/>
      <c r="AA384" s="136"/>
      <c r="AB384" s="136"/>
      <c r="AC384" s="136"/>
      <c r="AD384" s="136"/>
      <c r="AE384" s="136"/>
      <c r="AF384" s="136"/>
      <c r="AG384" s="136"/>
      <c r="AH384" s="136"/>
      <c r="AI384" s="136"/>
      <c r="AJ384" s="136"/>
      <c r="AK384" s="136"/>
      <c r="AL384" s="136"/>
      <c r="AM384" s="136"/>
      <c r="AN384" s="136"/>
      <c r="AO384" s="136"/>
    </row>
    <row r="385" spans="1:41" ht="15.75" customHeight="1">
      <c r="A385" s="102" t="s">
        <v>179</v>
      </c>
      <c r="B385" s="597">
        <f>('Pivot Table for Data Exchange'!$R$151)*100</f>
        <v>77.544665630776976</v>
      </c>
      <c r="C385" s="597">
        <f>('Pivot Table for Data Exchange'!$R$154)*100</f>
        <v>0</v>
      </c>
      <c r="D385" s="603">
        <f t="shared" ref="D385:D386" si="48">SUM(E385:G385)</f>
        <v>22.455334369223014</v>
      </c>
      <c r="E385" s="597">
        <f>('Pivot Table for Data Exchange'!$R$157)*100</f>
        <v>22.281962779344987</v>
      </c>
      <c r="F385" s="597">
        <f>('Pivot Table for Data Exchange'!$R$160)*100</f>
        <v>0.17337158987802578</v>
      </c>
      <c r="G385" s="599">
        <f>('Pivot Table for Data Exchange'!$R$163)*100</f>
        <v>0</v>
      </c>
      <c r="H385" s="597">
        <f>('Pivot Table for Data Exchange'!$R$166)*100</f>
        <v>0</v>
      </c>
      <c r="I385" s="102"/>
      <c r="J385" s="119"/>
      <c r="K385" s="119"/>
      <c r="L385" s="119"/>
      <c r="M385" s="119"/>
      <c r="N385" s="119"/>
      <c r="O385" s="119"/>
      <c r="P385" s="119"/>
      <c r="Q385" s="602">
        <f t="shared" si="44"/>
        <v>99.999999999999986</v>
      </c>
      <c r="R385" s="135"/>
      <c r="S385" s="136"/>
      <c r="T385" s="136"/>
      <c r="U385" s="136"/>
      <c r="V385" s="136"/>
      <c r="W385" s="136"/>
      <c r="X385" s="136"/>
      <c r="Y385" s="136"/>
      <c r="Z385" s="136"/>
      <c r="AA385" s="136"/>
      <c r="AB385" s="136"/>
      <c r="AC385" s="136"/>
      <c r="AD385" s="136"/>
      <c r="AE385" s="136"/>
      <c r="AF385" s="136"/>
      <c r="AG385" s="136"/>
      <c r="AH385" s="136"/>
      <c r="AI385" s="136"/>
      <c r="AJ385" s="136"/>
      <c r="AK385" s="136"/>
      <c r="AL385" s="136"/>
      <c r="AM385" s="136"/>
      <c r="AN385" s="136"/>
      <c r="AO385" s="136"/>
    </row>
    <row r="386" spans="1:41" ht="15.75" customHeight="1">
      <c r="A386" s="102" t="s">
        <v>180</v>
      </c>
      <c r="B386" s="597">
        <f>('Pivot Table for Data Exchange'!$R$187)*100</f>
        <v>89.327677595250293</v>
      </c>
      <c r="C386" s="597">
        <f>('Pivot Table for Data Exchange'!$R$190)*100</f>
        <v>0.47953831462695651</v>
      </c>
      <c r="D386" s="603">
        <f t="shared" si="48"/>
        <v>10.192784090122755</v>
      </c>
      <c r="E386" s="597">
        <f>('Pivot Table for Data Exchange'!$R$193)*100</f>
        <v>10.192784090122755</v>
      </c>
      <c r="F386" s="597">
        <f>('Pivot Table for Data Exchange'!$R$196)*100</f>
        <v>0</v>
      </c>
      <c r="G386" s="599">
        <f>('Pivot Table for Data Exchange'!$R$199)*100</f>
        <v>0</v>
      </c>
      <c r="H386" s="597">
        <f>('Pivot Table for Data Exchange'!$R$202)*100</f>
        <v>0</v>
      </c>
      <c r="I386" s="102"/>
      <c r="J386" s="119"/>
      <c r="K386" s="119"/>
      <c r="L386" s="119"/>
      <c r="M386" s="119"/>
      <c r="N386" s="119"/>
      <c r="O386" s="119"/>
      <c r="P386" s="119"/>
      <c r="Q386" s="602">
        <f t="shared" si="44"/>
        <v>100</v>
      </c>
      <c r="R386" s="135"/>
      <c r="S386" s="136"/>
      <c r="T386" s="136"/>
      <c r="U386" s="136"/>
      <c r="V386" s="136"/>
      <c r="W386" s="136"/>
      <c r="X386" s="136"/>
      <c r="Y386" s="136"/>
      <c r="Z386" s="136"/>
      <c r="AA386" s="136"/>
      <c r="AB386" s="136"/>
      <c r="AC386" s="136"/>
      <c r="AD386" s="136"/>
      <c r="AE386" s="136"/>
      <c r="AF386" s="136"/>
      <c r="AG386" s="136"/>
      <c r="AH386" s="136"/>
      <c r="AI386" s="136"/>
      <c r="AJ386" s="136"/>
      <c r="AK386" s="136"/>
      <c r="AL386" s="136"/>
      <c r="AM386" s="136"/>
      <c r="AN386" s="136"/>
      <c r="AO386" s="136"/>
    </row>
    <row r="387" spans="1:41" ht="15.75" customHeight="1">
      <c r="A387" s="102" t="s">
        <v>181</v>
      </c>
      <c r="B387" s="597">
        <f>('Pivot Table for Data Exchange'!$R$223)*100</f>
        <v>0</v>
      </c>
      <c r="C387" s="597">
        <f>('Pivot Table for Data Exchange'!$R$226)*100</f>
        <v>0</v>
      </c>
      <c r="D387" s="603">
        <f>SUM(E387:G387)</f>
        <v>0</v>
      </c>
      <c r="E387" s="597">
        <f>('Pivot Table for Data Exchange'!$R$229)*100</f>
        <v>0</v>
      </c>
      <c r="F387" s="597">
        <f>('Pivot Table for Data Exchange'!$R$232)*100</f>
        <v>0</v>
      </c>
      <c r="G387" s="599">
        <f>('Pivot Table for Data Exchange'!$R$235)*100</f>
        <v>0</v>
      </c>
      <c r="H387" s="597">
        <f>('Pivot Table for Data Exchange'!$R$238)*100</f>
        <v>0</v>
      </c>
      <c r="I387" s="124"/>
      <c r="J387" s="119"/>
      <c r="K387" s="119"/>
      <c r="L387" s="119"/>
      <c r="M387" s="119"/>
      <c r="N387" s="119"/>
      <c r="O387" s="119"/>
      <c r="P387" s="119"/>
      <c r="Q387" s="602">
        <f t="shared" si="44"/>
        <v>0</v>
      </c>
      <c r="R387" s="135"/>
      <c r="S387" s="136"/>
      <c r="T387" s="142"/>
      <c r="U387" s="136"/>
      <c r="V387" s="136"/>
      <c r="W387" s="136"/>
      <c r="X387" s="136"/>
      <c r="Y387" s="136"/>
      <c r="Z387" s="136"/>
      <c r="AA387" s="136"/>
      <c r="AB387" s="136"/>
      <c r="AC387" s="136"/>
      <c r="AD387" s="136"/>
      <c r="AE387" s="136"/>
      <c r="AF387" s="136"/>
      <c r="AG387" s="136"/>
      <c r="AH387" s="136"/>
      <c r="AI387" s="136"/>
      <c r="AJ387" s="136"/>
      <c r="AK387" s="136"/>
      <c r="AL387" s="136"/>
      <c r="AM387" s="136"/>
      <c r="AN387" s="136"/>
      <c r="AO387" s="136"/>
    </row>
    <row r="388" spans="1:41" ht="15.75" customHeight="1">
      <c r="A388" s="102" t="s">
        <v>222</v>
      </c>
      <c r="B388" s="597">
        <f>('Pivot Table for Data Exchange'!$R$259)*100</f>
        <v>0</v>
      </c>
      <c r="C388" s="597">
        <f>('Pivot Table for Data Exchange'!$R$262)*100</f>
        <v>0</v>
      </c>
      <c r="D388" s="603">
        <f>SUM(E388:G388)</f>
        <v>0</v>
      </c>
      <c r="E388" s="597">
        <f>('Pivot Table for Data Exchange'!$R$265)*100</f>
        <v>0</v>
      </c>
      <c r="F388" s="597">
        <f>('Pivot Table for Data Exchange'!$R$268)*100</f>
        <v>0</v>
      </c>
      <c r="G388" s="599">
        <f>('Pivot Table for Data Exchange'!$R$271)*100</f>
        <v>0</v>
      </c>
      <c r="H388" s="597">
        <f>('Pivot Table for Data Exchange'!$R$274)*100</f>
        <v>0</v>
      </c>
      <c r="I388" s="102"/>
      <c r="J388" s="119"/>
      <c r="K388" s="119"/>
      <c r="L388" s="119"/>
      <c r="M388" s="119"/>
      <c r="N388" s="119"/>
      <c r="O388" s="119"/>
      <c r="P388" s="119"/>
      <c r="Q388" s="602">
        <f t="shared" si="44"/>
        <v>0</v>
      </c>
      <c r="R388" s="135"/>
      <c r="S388" s="136"/>
      <c r="U388" s="136"/>
      <c r="V388" s="136"/>
      <c r="W388" s="136"/>
      <c r="X388" s="136"/>
      <c r="Y388" s="136"/>
      <c r="Z388" s="136"/>
      <c r="AA388" s="136"/>
      <c r="AB388" s="136"/>
      <c r="AC388" s="136"/>
      <c r="AD388" s="136"/>
      <c r="AE388" s="136"/>
      <c r="AF388" s="136"/>
      <c r="AG388" s="136"/>
      <c r="AH388" s="136"/>
      <c r="AI388" s="136"/>
      <c r="AJ388" s="136"/>
      <c r="AK388" s="136"/>
      <c r="AL388" s="136"/>
      <c r="AM388" s="136"/>
      <c r="AN388" s="136"/>
      <c r="AO388" s="136"/>
    </row>
    <row r="389" spans="1:41" ht="15.75" customHeight="1">
      <c r="A389" s="102"/>
      <c r="B389" s="597"/>
      <c r="C389" s="597"/>
      <c r="D389" s="603"/>
      <c r="E389" s="597"/>
      <c r="F389" s="597"/>
      <c r="G389" s="599"/>
      <c r="H389" s="597"/>
      <c r="I389" s="102"/>
      <c r="J389" s="119"/>
      <c r="K389" s="119"/>
      <c r="L389" s="119"/>
      <c r="M389" s="119"/>
      <c r="N389" s="119"/>
      <c r="O389" s="119"/>
      <c r="P389" s="119"/>
      <c r="Q389" s="602">
        <f t="shared" si="44"/>
        <v>0</v>
      </c>
      <c r="R389" s="135"/>
      <c r="S389" s="136"/>
      <c r="U389" s="136"/>
      <c r="V389" s="136"/>
      <c r="W389" s="136"/>
      <c r="X389" s="136"/>
      <c r="Y389" s="136"/>
      <c r="Z389" s="136"/>
      <c r="AA389" s="136"/>
      <c r="AB389" s="136"/>
      <c r="AC389" s="136"/>
      <c r="AD389" s="136"/>
      <c r="AE389" s="136"/>
      <c r="AF389" s="136"/>
      <c r="AG389" s="136"/>
      <c r="AH389" s="136"/>
      <c r="AI389" s="136"/>
      <c r="AJ389" s="136"/>
      <c r="AK389" s="136"/>
      <c r="AL389" s="136"/>
      <c r="AM389" s="136"/>
      <c r="AN389" s="136"/>
      <c r="AO389" s="136"/>
    </row>
    <row r="390" spans="1:41" ht="15.75" customHeight="1">
      <c r="A390" s="102" t="s">
        <v>183</v>
      </c>
      <c r="B390" s="597">
        <f>('Pivot Table for Data Exchange'!$R$295)*100</f>
        <v>0</v>
      </c>
      <c r="C390" s="597">
        <f>('Pivot Table for Data Exchange'!$R$298)*100</f>
        <v>0</v>
      </c>
      <c r="D390" s="603">
        <f>SUM(E390:G390)</f>
        <v>0</v>
      </c>
      <c r="E390" s="597">
        <f>('Pivot Table for Data Exchange'!$R$301)*100</f>
        <v>0</v>
      </c>
      <c r="F390" s="597">
        <f>('Pivot Table for Data Exchange'!$R$304)*100</f>
        <v>0</v>
      </c>
      <c r="G390" s="599">
        <f>('Pivot Table for Data Exchange'!$R$307)*100</f>
        <v>0</v>
      </c>
      <c r="H390" s="597">
        <f>('Pivot Table for Data Exchange'!$R$310)*100</f>
        <v>0</v>
      </c>
      <c r="I390" s="102"/>
      <c r="J390" s="119"/>
      <c r="K390" s="119"/>
      <c r="L390" s="119"/>
      <c r="M390" s="119"/>
      <c r="N390" s="119"/>
      <c r="O390" s="119"/>
      <c r="P390" s="119"/>
      <c r="Q390" s="602">
        <f t="shared" si="44"/>
        <v>0</v>
      </c>
      <c r="R390" s="135"/>
      <c r="S390" s="136"/>
      <c r="T390" s="136"/>
      <c r="U390" s="136"/>
      <c r="V390" s="136"/>
      <c r="W390" s="136"/>
      <c r="X390" s="136"/>
      <c r="Y390" s="136"/>
      <c r="Z390" s="136"/>
      <c r="AA390" s="136"/>
      <c r="AB390" s="136"/>
      <c r="AC390" s="136"/>
      <c r="AD390" s="136"/>
      <c r="AE390" s="136"/>
      <c r="AF390" s="136"/>
      <c r="AG390" s="136"/>
      <c r="AH390" s="136"/>
      <c r="AI390" s="136"/>
      <c r="AJ390" s="136"/>
      <c r="AK390" s="136"/>
      <c r="AL390" s="136"/>
      <c r="AM390" s="136"/>
      <c r="AN390" s="136"/>
      <c r="AO390" s="136"/>
    </row>
    <row r="391" spans="1:41" ht="15.75" customHeight="1">
      <c r="A391" s="102" t="s">
        <v>184</v>
      </c>
      <c r="B391" s="597">
        <f>('Pivot Table for Data Exchange'!$R$331)*100</f>
        <v>0</v>
      </c>
      <c r="C391" s="597">
        <f>('Pivot Table for Data Exchange'!$R$334)*100</f>
        <v>0</v>
      </c>
      <c r="D391" s="603">
        <f>SUM(E391:G391)</f>
        <v>0</v>
      </c>
      <c r="E391" s="597">
        <f>('Pivot Table for Data Exchange'!$R$337)*100</f>
        <v>0</v>
      </c>
      <c r="F391" s="597">
        <f>('Pivot Table for Data Exchange'!$R$340)*100</f>
        <v>0</v>
      </c>
      <c r="G391" s="599">
        <f>('Pivot Table for Data Exchange'!$R$343)*100</f>
        <v>0</v>
      </c>
      <c r="H391" s="597">
        <f>('Pivot Table for Data Exchange'!$R$346)*100</f>
        <v>0</v>
      </c>
      <c r="I391" s="102"/>
      <c r="J391" s="119"/>
      <c r="K391" s="119"/>
      <c r="L391" s="119"/>
      <c r="M391" s="119"/>
      <c r="N391" s="119"/>
      <c r="O391" s="119"/>
      <c r="P391" s="119"/>
      <c r="Q391" s="602">
        <f t="shared" si="44"/>
        <v>0</v>
      </c>
      <c r="R391" s="135"/>
      <c r="S391" s="136"/>
      <c r="T391" s="136"/>
      <c r="U391" s="136"/>
      <c r="V391" s="136"/>
      <c r="W391" s="136"/>
      <c r="X391" s="136"/>
      <c r="Y391" s="136"/>
      <c r="Z391" s="136"/>
      <c r="AA391" s="136"/>
      <c r="AB391" s="136"/>
      <c r="AC391" s="136"/>
      <c r="AD391" s="136"/>
      <c r="AE391" s="136"/>
      <c r="AF391" s="136"/>
      <c r="AG391" s="136"/>
      <c r="AH391" s="136"/>
      <c r="AI391" s="136"/>
      <c r="AJ391" s="136"/>
      <c r="AK391" s="136"/>
      <c r="AL391" s="136"/>
      <c r="AM391" s="136"/>
      <c r="AN391" s="136"/>
      <c r="AO391" s="136"/>
    </row>
    <row r="392" spans="1:41" ht="15.75" customHeight="1">
      <c r="A392" s="102" t="s">
        <v>185</v>
      </c>
      <c r="B392" s="597">
        <f>('Pivot Table for Data Exchange'!$R$367)*100</f>
        <v>0</v>
      </c>
      <c r="C392" s="597">
        <f>('Pivot Table for Data Exchange'!$R$370)*100</f>
        <v>0</v>
      </c>
      <c r="D392" s="603">
        <f>SUM(E392:G392)</f>
        <v>0</v>
      </c>
      <c r="E392" s="597">
        <f>('Pivot Table for Data Exchange'!$R$373)*100</f>
        <v>0</v>
      </c>
      <c r="F392" s="597">
        <f>('Pivot Table for Data Exchange'!$R$376)*100</f>
        <v>0</v>
      </c>
      <c r="G392" s="599">
        <f>('Pivot Table for Data Exchange'!$R$379)*100</f>
        <v>0</v>
      </c>
      <c r="H392" s="597">
        <f>('Pivot Table for Data Exchange'!$R$382)*100</f>
        <v>0</v>
      </c>
      <c r="I392" s="102"/>
      <c r="J392" s="119"/>
      <c r="K392" s="119"/>
      <c r="L392" s="119"/>
      <c r="M392" s="119"/>
      <c r="N392" s="119"/>
      <c r="O392" s="119"/>
      <c r="P392" s="119"/>
      <c r="Q392" s="602">
        <f t="shared" si="44"/>
        <v>0</v>
      </c>
      <c r="R392" s="135"/>
      <c r="S392" s="136"/>
      <c r="T392" s="142"/>
      <c r="U392" s="136"/>
      <c r="V392" s="136"/>
      <c r="W392" s="136"/>
      <c r="X392" s="136"/>
      <c r="Y392" s="136"/>
      <c r="Z392" s="136"/>
      <c r="AA392" s="136"/>
      <c r="AB392" s="136"/>
      <c r="AC392" s="136"/>
      <c r="AD392" s="136"/>
      <c r="AE392" s="136"/>
      <c r="AF392" s="136"/>
      <c r="AG392" s="136"/>
      <c r="AH392" s="136"/>
      <c r="AI392" s="136"/>
      <c r="AJ392" s="136"/>
      <c r="AK392" s="136"/>
      <c r="AL392" s="136"/>
      <c r="AM392" s="136"/>
      <c r="AN392" s="136"/>
      <c r="AO392" s="136"/>
    </row>
    <row r="393" spans="1:41" ht="15.75" customHeight="1">
      <c r="A393" s="102" t="s">
        <v>186</v>
      </c>
      <c r="B393" s="597">
        <f>('Pivot Table for Data Exchange'!$R$403)*100</f>
        <v>0</v>
      </c>
      <c r="C393" s="597">
        <f>('Pivot Table for Data Exchange'!$R$406)*100</f>
        <v>0</v>
      </c>
      <c r="D393" s="603">
        <f>SUM(E393:G393)</f>
        <v>0</v>
      </c>
      <c r="E393" s="597">
        <f>('Pivot Table for Data Exchange'!$R$409)*100</f>
        <v>0</v>
      </c>
      <c r="F393" s="597">
        <f>('Pivot Table for Data Exchange'!$R$412)*100</f>
        <v>0</v>
      </c>
      <c r="G393" s="599">
        <f>('Pivot Table for Data Exchange'!$R$415)*100</f>
        <v>0</v>
      </c>
      <c r="H393" s="597">
        <f>('Pivot Table for Data Exchange'!$R$418)*100</f>
        <v>0</v>
      </c>
      <c r="I393" s="102"/>
      <c r="J393" s="119"/>
      <c r="K393" s="119"/>
      <c r="L393" s="119"/>
      <c r="M393" s="119"/>
      <c r="N393" s="119"/>
      <c r="O393" s="119"/>
      <c r="P393" s="119"/>
      <c r="Q393" s="602">
        <f t="shared" si="44"/>
        <v>0</v>
      </c>
      <c r="R393" s="135"/>
      <c r="S393" s="136"/>
      <c r="T393" s="136"/>
      <c r="U393" s="136"/>
      <c r="V393" s="136"/>
      <c r="W393" s="136"/>
      <c r="X393" s="136"/>
      <c r="Y393" s="136"/>
      <c r="Z393" s="136"/>
      <c r="AA393" s="136"/>
      <c r="AB393" s="136"/>
      <c r="AC393" s="136"/>
      <c r="AD393" s="136"/>
      <c r="AE393" s="136"/>
      <c r="AF393" s="136"/>
      <c r="AG393" s="136"/>
      <c r="AH393" s="136"/>
      <c r="AI393" s="136"/>
      <c r="AJ393" s="136"/>
      <c r="AK393" s="136"/>
      <c r="AL393" s="136"/>
      <c r="AM393" s="136"/>
      <c r="AN393" s="136"/>
      <c r="AO393" s="136"/>
    </row>
    <row r="394" spans="1:41" ht="15.75" customHeight="1">
      <c r="A394" s="102"/>
      <c r="B394" s="597"/>
      <c r="C394" s="597"/>
      <c r="D394" s="603"/>
      <c r="E394" s="597"/>
      <c r="F394" s="597"/>
      <c r="G394" s="599"/>
      <c r="H394" s="597"/>
      <c r="I394" s="102"/>
      <c r="J394" s="119"/>
      <c r="K394" s="119"/>
      <c r="L394" s="119"/>
      <c r="M394" s="119"/>
      <c r="N394" s="119"/>
      <c r="O394" s="119"/>
      <c r="P394" s="119"/>
      <c r="Q394" s="602">
        <f t="shared" si="44"/>
        <v>0</v>
      </c>
      <c r="R394" s="135"/>
      <c r="S394" s="136"/>
      <c r="T394" s="136"/>
      <c r="U394" s="136"/>
      <c r="V394" s="136"/>
      <c r="W394" s="136"/>
      <c r="X394" s="136"/>
      <c r="Y394" s="136"/>
      <c r="Z394" s="136"/>
      <c r="AA394" s="136"/>
      <c r="AB394" s="136"/>
      <c r="AC394" s="136"/>
      <c r="AD394" s="136"/>
      <c r="AE394" s="136"/>
      <c r="AF394" s="136"/>
      <c r="AG394" s="136"/>
      <c r="AH394" s="136"/>
      <c r="AI394" s="136"/>
      <c r="AJ394" s="136"/>
      <c r="AK394" s="136"/>
      <c r="AL394" s="136"/>
      <c r="AM394" s="136"/>
      <c r="AN394" s="136"/>
      <c r="AO394" s="136"/>
    </row>
    <row r="395" spans="1:41" ht="15.75" customHeight="1">
      <c r="A395" s="102" t="s">
        <v>187</v>
      </c>
      <c r="B395" s="597">
        <f>('Pivot Table for Data Exchange'!$R$439)*100</f>
        <v>0</v>
      </c>
      <c r="C395" s="597">
        <f>('Pivot Table for Data Exchange'!$R$442)*100</f>
        <v>0</v>
      </c>
      <c r="D395" s="603">
        <f>SUM(E395:G395)</f>
        <v>0</v>
      </c>
      <c r="E395" s="597">
        <f>('Pivot Table for Data Exchange'!$R$445)*100</f>
        <v>0</v>
      </c>
      <c r="F395" s="597">
        <f>('Pivot Table for Data Exchange'!$R$448)*100</f>
        <v>0</v>
      </c>
      <c r="G395" s="599">
        <f>('Pivot Table for Data Exchange'!$R$451)*100</f>
        <v>0</v>
      </c>
      <c r="H395" s="597">
        <f>('Pivot Table for Data Exchange'!$R$454)*100</f>
        <v>0</v>
      </c>
      <c r="I395" s="102"/>
      <c r="J395" s="119"/>
      <c r="K395" s="119"/>
      <c r="L395" s="119"/>
      <c r="M395" s="119"/>
      <c r="N395" s="119"/>
      <c r="O395" s="119"/>
      <c r="P395" s="119"/>
      <c r="Q395" s="602">
        <f t="shared" si="44"/>
        <v>0</v>
      </c>
      <c r="R395" s="135"/>
      <c r="S395" s="136"/>
      <c r="T395" s="136"/>
      <c r="U395" s="136"/>
      <c r="V395" s="136"/>
      <c r="W395" s="136"/>
      <c r="X395" s="136"/>
      <c r="Y395" s="136"/>
      <c r="Z395" s="136"/>
      <c r="AA395" s="136"/>
      <c r="AB395" s="136"/>
      <c r="AC395" s="136"/>
      <c r="AD395" s="136"/>
      <c r="AE395" s="136"/>
      <c r="AF395" s="136"/>
      <c r="AG395" s="136"/>
      <c r="AH395" s="136"/>
      <c r="AI395" s="136"/>
      <c r="AJ395" s="136"/>
      <c r="AK395" s="136"/>
      <c r="AL395" s="136"/>
      <c r="AM395" s="136"/>
      <c r="AN395" s="136"/>
      <c r="AO395" s="136"/>
    </row>
    <row r="396" spans="1:41" ht="15.75" customHeight="1">
      <c r="A396" s="102" t="s">
        <v>188</v>
      </c>
      <c r="B396" s="597">
        <f>('Pivot Table for Data Exchange'!$R$475)*100</f>
        <v>0</v>
      </c>
      <c r="C396" s="597">
        <f>('Pivot Table for Data Exchange'!$R$478)*100</f>
        <v>0</v>
      </c>
      <c r="D396" s="603">
        <f>SUM(E396:G396)</f>
        <v>0</v>
      </c>
      <c r="E396" s="597">
        <f>('Pivot Table for Data Exchange'!$R$481)*100</f>
        <v>0</v>
      </c>
      <c r="F396" s="597">
        <f>('Pivot Table for Data Exchange'!$R$484)*100</f>
        <v>0</v>
      </c>
      <c r="G396" s="599">
        <f>('Pivot Table for Data Exchange'!$R$487)*100</f>
        <v>0</v>
      </c>
      <c r="H396" s="597">
        <f>('Pivot Table for Data Exchange'!$R$490)*100</f>
        <v>0</v>
      </c>
      <c r="I396" s="102"/>
      <c r="J396" s="119"/>
      <c r="K396" s="119"/>
      <c r="L396" s="119"/>
      <c r="M396" s="119"/>
      <c r="N396" s="119"/>
      <c r="O396" s="119"/>
      <c r="P396" s="119"/>
      <c r="Q396" s="602">
        <f t="shared" si="44"/>
        <v>0</v>
      </c>
      <c r="R396" s="135"/>
      <c r="S396" s="136"/>
      <c r="T396" s="136"/>
      <c r="U396" s="136"/>
      <c r="V396" s="136"/>
      <c r="W396" s="136"/>
      <c r="X396" s="136"/>
      <c r="Y396" s="136"/>
      <c r="Z396" s="136"/>
      <c r="AA396" s="136"/>
      <c r="AB396" s="136"/>
      <c r="AC396" s="136"/>
      <c r="AD396" s="136"/>
      <c r="AE396" s="136"/>
      <c r="AF396" s="136"/>
      <c r="AG396" s="136"/>
      <c r="AH396" s="136"/>
      <c r="AI396" s="136"/>
      <c r="AJ396" s="136"/>
      <c r="AK396" s="136"/>
      <c r="AL396" s="136"/>
      <c r="AM396" s="136"/>
      <c r="AN396" s="136"/>
      <c r="AO396" s="136"/>
    </row>
    <row r="397" spans="1:41" ht="15.75" customHeight="1">
      <c r="A397" s="102" t="s">
        <v>189</v>
      </c>
      <c r="B397" s="597">
        <f>('Pivot Table for Data Exchange'!$R$511)*100</f>
        <v>0</v>
      </c>
      <c r="C397" s="597">
        <f>('Pivot Table for Data Exchange'!$R$514)*100</f>
        <v>0</v>
      </c>
      <c r="D397" s="603">
        <f>SUM(E397:G397)</f>
        <v>0</v>
      </c>
      <c r="E397" s="597">
        <f>('Pivot Table for Data Exchange'!$R$517)*100</f>
        <v>0</v>
      </c>
      <c r="F397" s="597">
        <f>('Pivot Table for Data Exchange'!$R$520)*100</f>
        <v>0</v>
      </c>
      <c r="G397" s="599">
        <f>('Pivot Table for Data Exchange'!$R$523)*100</f>
        <v>0</v>
      </c>
      <c r="H397" s="597">
        <f>('Pivot Table for Data Exchange'!$R$526)*100</f>
        <v>0</v>
      </c>
      <c r="I397" s="102"/>
      <c r="J397" s="119"/>
      <c r="K397" s="119"/>
      <c r="L397" s="119"/>
      <c r="M397" s="119"/>
      <c r="N397" s="119"/>
      <c r="O397" s="119"/>
      <c r="P397" s="119"/>
      <c r="Q397" s="602">
        <f t="shared" si="44"/>
        <v>0</v>
      </c>
      <c r="R397" s="135"/>
      <c r="S397" s="136"/>
      <c r="T397" s="136"/>
      <c r="U397" s="136"/>
      <c r="V397" s="136"/>
      <c r="W397" s="136"/>
      <c r="X397" s="136"/>
      <c r="Y397" s="136"/>
      <c r="Z397" s="136"/>
      <c r="AA397" s="136"/>
      <c r="AB397" s="136"/>
      <c r="AC397" s="136"/>
      <c r="AD397" s="136"/>
      <c r="AE397" s="136"/>
      <c r="AF397" s="136"/>
      <c r="AG397" s="136"/>
      <c r="AH397" s="136"/>
      <c r="AI397" s="136"/>
      <c r="AJ397" s="136"/>
      <c r="AK397" s="136"/>
      <c r="AL397" s="136"/>
      <c r="AM397" s="136"/>
      <c r="AN397" s="136"/>
      <c r="AO397" s="136"/>
    </row>
    <row r="398" spans="1:41" ht="15.75" customHeight="1">
      <c r="A398" s="76" t="s">
        <v>190</v>
      </c>
      <c r="B398" s="600">
        <f>('Pivot Table for Data Exchange'!$R$547)*100</f>
        <v>0</v>
      </c>
      <c r="C398" s="600">
        <f>('Pivot Table for Data Exchange'!$R$550)*100</f>
        <v>0</v>
      </c>
      <c r="D398" s="604">
        <f>SUM(E398:G398)</f>
        <v>0</v>
      </c>
      <c r="E398" s="600">
        <f>('Pivot Table for Data Exchange'!$R$553)*100</f>
        <v>0</v>
      </c>
      <c r="F398" s="600">
        <f>('Pivot Table for Data Exchange'!$R$556)*100</f>
        <v>0</v>
      </c>
      <c r="G398" s="601">
        <f>('Pivot Table for Data Exchange'!$R$559)*100</f>
        <v>0</v>
      </c>
      <c r="H398" s="600">
        <f>('Pivot Table for Data Exchange'!$R$562)*100</f>
        <v>0</v>
      </c>
      <c r="I398" s="102"/>
      <c r="J398" s="119"/>
      <c r="K398" s="119"/>
      <c r="L398" s="119"/>
      <c r="M398" s="119"/>
      <c r="N398" s="119"/>
      <c r="O398" s="119"/>
      <c r="P398" s="119"/>
      <c r="Q398" s="602">
        <f t="shared" si="44"/>
        <v>0</v>
      </c>
      <c r="R398" s="135"/>
      <c r="S398" s="136"/>
      <c r="T398" s="136"/>
      <c r="U398" s="136"/>
      <c r="V398" s="136"/>
      <c r="W398" s="136"/>
      <c r="X398" s="136"/>
      <c r="Y398" s="136"/>
      <c r="Z398" s="136"/>
      <c r="AA398" s="136"/>
      <c r="AB398" s="136"/>
      <c r="AC398" s="136"/>
      <c r="AD398" s="136"/>
      <c r="AE398" s="136"/>
      <c r="AF398" s="136"/>
      <c r="AG398" s="136"/>
      <c r="AH398" s="136"/>
      <c r="AI398" s="136"/>
      <c r="AJ398" s="136"/>
      <c r="AK398" s="136"/>
      <c r="AL398" s="136"/>
      <c r="AM398" s="136"/>
      <c r="AN398" s="136"/>
      <c r="AO398" s="136"/>
    </row>
    <row r="399" spans="1:41" s="141" customFormat="1" ht="18" customHeight="1">
      <c r="A399" s="43" t="s">
        <v>219</v>
      </c>
      <c r="B399" s="106"/>
      <c r="C399" s="106"/>
      <c r="D399" s="107"/>
      <c r="E399" s="106"/>
      <c r="F399" s="107"/>
      <c r="G399" s="107"/>
      <c r="H399" s="106"/>
      <c r="I399" s="43"/>
      <c r="J399" s="106"/>
      <c r="K399" s="106"/>
      <c r="L399" s="107"/>
      <c r="M399" s="106"/>
      <c r="N399" s="107"/>
      <c r="O399" s="107"/>
      <c r="P399" s="106"/>
      <c r="Q399" s="602">
        <f t="shared" si="44"/>
        <v>0</v>
      </c>
      <c r="R399" s="139"/>
      <c r="S399" s="140"/>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row>
    <row r="400" spans="1:41" s="141" customFormat="1" ht="18" customHeight="1">
      <c r="A400" s="43"/>
      <c r="B400" s="106"/>
      <c r="C400" s="106"/>
      <c r="D400" s="107"/>
      <c r="E400" s="106"/>
      <c r="F400" s="107"/>
      <c r="G400" s="107"/>
      <c r="H400" s="106"/>
      <c r="I400" s="43"/>
      <c r="J400" s="106"/>
      <c r="K400" s="106"/>
      <c r="L400" s="107"/>
      <c r="M400" s="106"/>
      <c r="N400" s="107"/>
      <c r="O400" s="107"/>
      <c r="P400" s="106"/>
      <c r="Q400" s="602">
        <f t="shared" si="44"/>
        <v>0</v>
      </c>
      <c r="R400" s="139"/>
      <c r="S400" s="140"/>
      <c r="T400" s="140"/>
      <c r="U400" s="140"/>
      <c r="V400" s="140"/>
      <c r="W400" s="140"/>
      <c r="X400" s="140"/>
      <c r="Y400" s="140"/>
      <c r="Z400" s="140"/>
      <c r="AA400" s="140"/>
      <c r="AB400" s="140"/>
      <c r="AC400" s="140"/>
      <c r="AD400" s="140"/>
      <c r="AE400" s="140"/>
      <c r="AF400" s="140"/>
      <c r="AG400" s="140"/>
      <c r="AH400" s="140"/>
      <c r="AI400" s="140"/>
      <c r="AJ400" s="140"/>
      <c r="AK400" s="140"/>
      <c r="AL400" s="140"/>
      <c r="AM400" s="140"/>
      <c r="AN400" s="140"/>
      <c r="AO400" s="140"/>
    </row>
    <row r="401" spans="1:41" s="138" customFormat="1" ht="15.75" customHeight="1">
      <c r="A401" s="102"/>
      <c r="B401" s="121"/>
      <c r="C401" s="121"/>
      <c r="D401" s="121"/>
      <c r="E401" s="121"/>
      <c r="F401" s="121"/>
      <c r="G401" s="121"/>
      <c r="H401" s="49" t="s">
        <v>900</v>
      </c>
      <c r="I401" s="102"/>
      <c r="J401" s="119"/>
      <c r="K401" s="119"/>
      <c r="L401" s="119"/>
      <c r="M401" s="119"/>
      <c r="N401" s="119"/>
      <c r="O401" s="119"/>
      <c r="P401" s="119"/>
      <c r="Q401" s="602">
        <f t="shared" si="44"/>
        <v>0</v>
      </c>
      <c r="R401" s="135"/>
      <c r="S401" s="145"/>
      <c r="T401" s="145"/>
      <c r="U401" s="145"/>
      <c r="V401" s="145"/>
      <c r="W401" s="145"/>
      <c r="X401" s="145"/>
      <c r="Y401" s="145"/>
      <c r="Z401" s="145"/>
      <c r="AA401" s="145"/>
      <c r="AB401" s="145"/>
      <c r="AC401" s="145"/>
      <c r="AD401" s="145"/>
      <c r="AE401" s="145"/>
      <c r="AF401" s="145"/>
      <c r="AG401" s="145"/>
      <c r="AH401" s="145"/>
      <c r="AI401" s="145"/>
      <c r="AJ401" s="145"/>
      <c r="AK401" s="145"/>
      <c r="AL401" s="145"/>
      <c r="AM401" s="145"/>
      <c r="AN401" s="145"/>
      <c r="AO401" s="145"/>
    </row>
    <row r="402" spans="1:41" ht="18">
      <c r="A402" s="16" t="s">
        <v>278</v>
      </c>
      <c r="B402" s="71"/>
      <c r="C402" s="71"/>
      <c r="D402" s="71"/>
      <c r="E402" s="71"/>
      <c r="F402" s="71"/>
      <c r="G402" s="71"/>
      <c r="H402" s="72"/>
      <c r="I402" s="118"/>
      <c r="J402" s="102"/>
      <c r="K402" s="102"/>
      <c r="L402" s="102"/>
      <c r="M402" s="102"/>
      <c r="N402" s="102"/>
      <c r="O402" s="102"/>
      <c r="P402" s="102"/>
      <c r="Q402" s="602">
        <f t="shared" si="44"/>
        <v>0</v>
      </c>
    </row>
    <row r="403" spans="1:41">
      <c r="A403" s="22"/>
      <c r="B403" s="23"/>
      <c r="C403" s="23"/>
      <c r="D403" s="23"/>
      <c r="E403" s="23"/>
      <c r="F403" s="23"/>
      <c r="G403" s="23"/>
      <c r="H403" s="73"/>
      <c r="I403" s="118"/>
      <c r="J403" s="102"/>
      <c r="K403" s="102"/>
      <c r="L403" s="102"/>
      <c r="M403" s="102"/>
      <c r="N403" s="102"/>
      <c r="O403" s="102"/>
      <c r="P403" s="102"/>
      <c r="Q403" s="602">
        <f t="shared" si="44"/>
        <v>0</v>
      </c>
    </row>
    <row r="404" spans="1:41" ht="15.75">
      <c r="A404" s="74" t="s">
        <v>205</v>
      </c>
      <c r="B404" s="23"/>
      <c r="C404" s="23"/>
      <c r="D404" s="23"/>
      <c r="E404" s="23"/>
      <c r="F404" s="23"/>
      <c r="G404" s="23"/>
      <c r="H404" s="73"/>
      <c r="I404" s="118"/>
      <c r="J404" s="102"/>
      <c r="K404" s="102"/>
      <c r="L404" s="102"/>
      <c r="M404" s="102"/>
      <c r="N404" s="102"/>
      <c r="O404" s="102"/>
      <c r="P404" s="102"/>
      <c r="Q404" s="602">
        <f t="shared" si="44"/>
        <v>0</v>
      </c>
    </row>
    <row r="405" spans="1:41" ht="15.75">
      <c r="A405" s="74" t="s">
        <v>894</v>
      </c>
      <c r="B405" s="23"/>
      <c r="C405" s="23"/>
      <c r="D405" s="23"/>
      <c r="E405" s="23"/>
      <c r="F405" s="23"/>
      <c r="G405" s="23"/>
      <c r="H405" s="73"/>
      <c r="I405" s="118"/>
      <c r="J405" s="102"/>
      <c r="K405" s="102"/>
      <c r="L405" s="102"/>
      <c r="M405" s="102"/>
      <c r="N405" s="102"/>
      <c r="O405" s="102"/>
      <c r="P405" s="102"/>
      <c r="Q405" s="602">
        <f t="shared" si="44"/>
        <v>0</v>
      </c>
    </row>
    <row r="406" spans="1:41">
      <c r="A406" s="76"/>
      <c r="B406" s="77"/>
      <c r="C406" s="77"/>
      <c r="D406" s="77"/>
      <c r="E406" s="77"/>
      <c r="F406" s="77"/>
      <c r="G406" s="77"/>
      <c r="H406" s="77"/>
      <c r="I406" s="118"/>
      <c r="J406" s="102"/>
      <c r="K406" s="102"/>
      <c r="L406" s="102"/>
      <c r="M406" s="102"/>
      <c r="N406" s="102"/>
      <c r="O406" s="102"/>
      <c r="P406" s="102"/>
      <c r="Q406" s="602">
        <f t="shared" si="44"/>
        <v>0</v>
      </c>
    </row>
    <row r="407" spans="1:41">
      <c r="A407" s="80"/>
      <c r="B407" s="81" t="s">
        <v>207</v>
      </c>
      <c r="C407" s="81"/>
      <c r="D407" s="81"/>
      <c r="E407" s="81"/>
      <c r="F407" s="81"/>
      <c r="G407" s="81"/>
      <c r="H407" s="82"/>
      <c r="I407" s="118"/>
      <c r="J407" s="102"/>
      <c r="K407" s="102"/>
      <c r="L407" s="102"/>
      <c r="M407" s="102"/>
      <c r="N407" s="102"/>
      <c r="O407" s="102"/>
      <c r="P407" s="102"/>
      <c r="Q407" s="602">
        <f t="shared" si="44"/>
        <v>0</v>
      </c>
    </row>
    <row r="408" spans="1:41">
      <c r="A408" s="80"/>
      <c r="B408" s="81" t="s">
        <v>208</v>
      </c>
      <c r="C408" s="81"/>
      <c r="D408" s="653" t="s">
        <v>209</v>
      </c>
      <c r="E408" s="654"/>
      <c r="F408" s="654"/>
      <c r="G408" s="654"/>
      <c r="H408" s="86" t="s">
        <v>39</v>
      </c>
      <c r="I408" s="118"/>
      <c r="J408" s="102"/>
      <c r="K408" s="102"/>
      <c r="L408" s="102"/>
      <c r="M408" s="102"/>
      <c r="N408" s="102"/>
      <c r="O408" s="102"/>
      <c r="P408" s="102"/>
      <c r="Q408" s="602">
        <f t="shared" si="44"/>
        <v>0</v>
      </c>
    </row>
    <row r="409" spans="1:41" ht="36">
      <c r="A409" s="80"/>
      <c r="B409" s="87" t="s">
        <v>210</v>
      </c>
      <c r="C409" s="88" t="s">
        <v>211</v>
      </c>
      <c r="D409" s="89" t="s">
        <v>212</v>
      </c>
      <c r="E409" s="90" t="s">
        <v>7</v>
      </c>
      <c r="F409" s="87" t="s">
        <v>213</v>
      </c>
      <c r="G409" s="91" t="s">
        <v>214</v>
      </c>
      <c r="H409" s="92" t="s">
        <v>215</v>
      </c>
      <c r="I409" s="118"/>
      <c r="J409" s="102"/>
      <c r="K409" s="102"/>
      <c r="L409" s="102"/>
      <c r="M409" s="102"/>
      <c r="N409" s="102"/>
      <c r="O409" s="102"/>
      <c r="P409" s="102"/>
      <c r="Q409" s="602">
        <f t="shared" si="44"/>
        <v>0</v>
      </c>
    </row>
    <row r="410" spans="1:41" ht="15.75" customHeight="1">
      <c r="A410" s="99" t="s">
        <v>175</v>
      </c>
      <c r="B410" s="120">
        <f>('Pivot Table for Data Exchange'!$P$7)*100</f>
        <v>43.339663043917419</v>
      </c>
      <c r="C410" s="597">
        <f>('Pivot Table for Data Exchange'!$P$10)*100</f>
        <v>49.787887358086543</v>
      </c>
      <c r="D410" s="603">
        <f>SUM(E410:G410)</f>
        <v>6.8724495979960398</v>
      </c>
      <c r="E410" s="597">
        <f>('Pivot Table for Data Exchange'!$P$13)*100</f>
        <v>6.8724495979960398</v>
      </c>
      <c r="F410" s="597">
        <f>('Pivot Table for Data Exchange'!$P$16)*100</f>
        <v>0</v>
      </c>
      <c r="G410" s="97">
        <f>('Pivot Table for Data Exchange'!$P$19)*100</f>
        <v>0</v>
      </c>
      <c r="H410" s="597">
        <f>('Pivot Table for Data Exchange'!$P$22)*100</f>
        <v>0</v>
      </c>
      <c r="I410" s="102"/>
      <c r="J410" s="119"/>
      <c r="K410" s="119"/>
      <c r="L410" s="119"/>
      <c r="M410" s="119"/>
      <c r="N410" s="119"/>
      <c r="O410" s="119"/>
      <c r="P410" s="119"/>
      <c r="Q410" s="602">
        <f t="shared" si="44"/>
        <v>100</v>
      </c>
      <c r="R410" s="135"/>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row>
    <row r="411" spans="1:41" ht="15.75" customHeight="1">
      <c r="A411" s="102" t="s">
        <v>176</v>
      </c>
      <c r="B411" s="597">
        <f>('Pivot Table for Data Exchange'!$P$43)*100</f>
        <v>0</v>
      </c>
      <c r="C411" s="597">
        <f>('Pivot Table for Data Exchange'!$P$46)*100</f>
        <v>0</v>
      </c>
      <c r="D411" s="603">
        <f t="shared" ref="D411:D413" si="49">SUM(E411:G411)</f>
        <v>0</v>
      </c>
      <c r="E411" s="597">
        <f>('Pivot Table for Data Exchange'!$P$49)*100</f>
        <v>0</v>
      </c>
      <c r="F411" s="597">
        <f>('Pivot Table for Data Exchange'!$P$52)*100</f>
        <v>0</v>
      </c>
      <c r="G411" s="599">
        <f>('Pivot Table for Data Exchange'!$P$55)*100</f>
        <v>0</v>
      </c>
      <c r="H411" s="597">
        <f>('Pivot Table for Data Exchange'!$P$58)*100</f>
        <v>0</v>
      </c>
      <c r="I411" s="102"/>
      <c r="J411" s="119"/>
      <c r="K411" s="119"/>
      <c r="L411" s="119"/>
      <c r="M411" s="119"/>
      <c r="N411" s="119"/>
      <c r="O411" s="119"/>
      <c r="P411" s="119"/>
      <c r="Q411" s="602">
        <f t="shared" ref="Q411:Q458" si="50">SUM(B411,C411,D411,H411)</f>
        <v>0</v>
      </c>
      <c r="R411" s="135"/>
      <c r="S411" s="136"/>
      <c r="T411" s="136"/>
      <c r="U411" s="136"/>
      <c r="V411" s="136"/>
      <c r="W411" s="136"/>
      <c r="X411" s="136"/>
      <c r="Y411" s="136"/>
      <c r="Z411" s="136"/>
      <c r="AA411" s="136"/>
      <c r="AB411" s="136"/>
      <c r="AC411" s="136"/>
      <c r="AD411" s="136"/>
      <c r="AE411" s="136"/>
      <c r="AF411" s="136"/>
      <c r="AG411" s="136"/>
      <c r="AH411" s="136"/>
      <c r="AI411" s="136"/>
      <c r="AJ411" s="136"/>
      <c r="AK411" s="136"/>
      <c r="AL411" s="136"/>
      <c r="AM411" s="136"/>
      <c r="AN411" s="136"/>
      <c r="AO411" s="136"/>
    </row>
    <row r="412" spans="1:41" ht="15.75" customHeight="1">
      <c r="A412" s="102" t="s">
        <v>177</v>
      </c>
      <c r="B412" s="597">
        <f>('Pivot Table for Data Exchange'!$P$79)*100</f>
        <v>0</v>
      </c>
      <c r="C412" s="597">
        <f>('Pivot Table for Data Exchange'!$P$82)*100</f>
        <v>0</v>
      </c>
      <c r="D412" s="603">
        <f t="shared" si="49"/>
        <v>0</v>
      </c>
      <c r="E412" s="597">
        <f>('Pivot Table for Data Exchange'!$P$85)*100</f>
        <v>0</v>
      </c>
      <c r="F412" s="597">
        <f>('Pivot Table for Data Exchange'!$P$88)*100</f>
        <v>0</v>
      </c>
      <c r="G412" s="599">
        <f>('Pivot Table for Data Exchange'!$P$91)*100</f>
        <v>0</v>
      </c>
      <c r="H412" s="597">
        <f>('Pivot Table for Data Exchange'!$P$94)*100</f>
        <v>0</v>
      </c>
      <c r="I412" s="102"/>
      <c r="J412" s="119"/>
      <c r="K412" s="119"/>
      <c r="L412" s="119"/>
      <c r="M412" s="119"/>
      <c r="N412" s="119"/>
      <c r="O412" s="119"/>
      <c r="P412" s="119"/>
      <c r="Q412" s="602">
        <f t="shared" si="50"/>
        <v>0</v>
      </c>
      <c r="R412" s="135"/>
      <c r="S412" s="136"/>
      <c r="T412" s="142"/>
      <c r="U412" s="136"/>
      <c r="V412" s="136"/>
      <c r="W412" s="136"/>
      <c r="X412" s="136"/>
      <c r="Y412" s="136"/>
      <c r="Z412" s="136"/>
      <c r="AA412" s="136"/>
      <c r="AB412" s="136"/>
      <c r="AC412" s="136"/>
      <c r="AD412" s="136"/>
      <c r="AE412" s="136"/>
      <c r="AF412" s="136"/>
      <c r="AG412" s="136"/>
      <c r="AH412" s="136"/>
      <c r="AI412" s="136"/>
      <c r="AJ412" s="136"/>
      <c r="AK412" s="136"/>
      <c r="AL412" s="136"/>
      <c r="AM412" s="136"/>
      <c r="AN412" s="136"/>
      <c r="AO412" s="136"/>
    </row>
    <row r="413" spans="1:41" ht="15.75" customHeight="1">
      <c r="A413" s="102" t="s">
        <v>178</v>
      </c>
      <c r="B413" s="597">
        <f>('Pivot Table for Data Exchange'!$P$115)*100</f>
        <v>0</v>
      </c>
      <c r="C413" s="597">
        <f>('Pivot Table for Data Exchange'!$P$118)*100</f>
        <v>0</v>
      </c>
      <c r="D413" s="603">
        <f t="shared" si="49"/>
        <v>0</v>
      </c>
      <c r="E413" s="597">
        <f>('Pivot Table for Data Exchange'!$P$121)*100</f>
        <v>0</v>
      </c>
      <c r="F413" s="597">
        <f>('Pivot Table for Data Exchange'!$P$124)*100</f>
        <v>0</v>
      </c>
      <c r="G413" s="599">
        <f>('Pivot Table for Data Exchange'!$P$127)*100</f>
        <v>0</v>
      </c>
      <c r="H413" s="597">
        <f>('Pivot Table for Data Exchange'!$P$130)*100</f>
        <v>0</v>
      </c>
      <c r="I413" s="102"/>
      <c r="J413" s="119"/>
      <c r="K413" s="119"/>
      <c r="L413" s="119"/>
      <c r="M413" s="119"/>
      <c r="N413" s="119"/>
      <c r="O413" s="119"/>
      <c r="P413" s="119"/>
      <c r="Q413" s="602">
        <f t="shared" si="50"/>
        <v>0</v>
      </c>
      <c r="R413" s="135"/>
      <c r="S413" s="136"/>
      <c r="U413" s="136"/>
      <c r="V413" s="136"/>
      <c r="W413" s="136"/>
      <c r="X413" s="136"/>
      <c r="Y413" s="136"/>
      <c r="Z413" s="136"/>
      <c r="AA413" s="136"/>
      <c r="AB413" s="136"/>
      <c r="AC413" s="136"/>
      <c r="AD413" s="136"/>
      <c r="AE413" s="136"/>
      <c r="AF413" s="136"/>
      <c r="AG413" s="136"/>
      <c r="AH413" s="136"/>
      <c r="AI413" s="136"/>
      <c r="AJ413" s="136"/>
      <c r="AK413" s="136"/>
      <c r="AL413" s="136"/>
      <c r="AM413" s="136"/>
      <c r="AN413" s="136"/>
      <c r="AO413" s="136"/>
    </row>
    <row r="414" spans="1:41" ht="15.75" customHeight="1">
      <c r="A414" s="102"/>
      <c r="B414" s="597"/>
      <c r="C414" s="597"/>
      <c r="D414" s="603"/>
      <c r="E414" s="597"/>
      <c r="F414" s="597"/>
      <c r="G414" s="599"/>
      <c r="H414" s="597"/>
      <c r="I414" s="102"/>
      <c r="J414" s="119"/>
      <c r="K414" s="119"/>
      <c r="L414" s="119"/>
      <c r="M414" s="119"/>
      <c r="N414" s="119"/>
      <c r="O414" s="119"/>
      <c r="P414" s="119"/>
      <c r="Q414" s="602">
        <f t="shared" si="50"/>
        <v>0</v>
      </c>
      <c r="R414" s="135"/>
      <c r="S414" s="136"/>
      <c r="U414" s="136"/>
      <c r="V414" s="136"/>
      <c r="W414" s="136"/>
      <c r="X414" s="136"/>
      <c r="Y414" s="136"/>
      <c r="Z414" s="136"/>
      <c r="AA414" s="136"/>
      <c r="AB414" s="136"/>
      <c r="AC414" s="136"/>
      <c r="AD414" s="136"/>
      <c r="AE414" s="136"/>
      <c r="AF414" s="136"/>
      <c r="AG414" s="136"/>
      <c r="AH414" s="136"/>
      <c r="AI414" s="136"/>
      <c r="AJ414" s="136"/>
      <c r="AK414" s="136"/>
      <c r="AL414" s="136"/>
      <c r="AM414" s="136"/>
      <c r="AN414" s="136"/>
      <c r="AO414" s="136"/>
    </row>
    <row r="415" spans="1:41" ht="15.75" customHeight="1">
      <c r="A415" s="102" t="s">
        <v>179</v>
      </c>
      <c r="B415" s="597">
        <f>('Pivot Table for Data Exchange'!$P$151)*100</f>
        <v>77.544665630776976</v>
      </c>
      <c r="C415" s="597">
        <f>('Pivot Table for Data Exchange'!$P$154)*100</f>
        <v>0</v>
      </c>
      <c r="D415" s="603">
        <f t="shared" ref="D415:D416" si="51">SUM(E415:G415)</f>
        <v>22.455334369223014</v>
      </c>
      <c r="E415" s="597">
        <f>('Pivot Table for Data Exchange'!$P$157)*100</f>
        <v>22.281962779344987</v>
      </c>
      <c r="F415" s="597">
        <f>('Pivot Table for Data Exchange'!$P$160)*100</f>
        <v>0.17337158987802578</v>
      </c>
      <c r="G415" s="599">
        <f>('Pivot Table for Data Exchange'!$P$163)*100</f>
        <v>0</v>
      </c>
      <c r="H415" s="597">
        <f>('Pivot Table for Data Exchange'!$P$166)*100</f>
        <v>0</v>
      </c>
      <c r="I415" s="102"/>
      <c r="J415" s="119"/>
      <c r="K415" s="119"/>
      <c r="L415" s="119"/>
      <c r="M415" s="119"/>
      <c r="N415" s="119"/>
      <c r="O415" s="119"/>
      <c r="P415" s="119"/>
      <c r="Q415" s="602">
        <f t="shared" si="50"/>
        <v>99.999999999999986</v>
      </c>
      <c r="R415" s="135"/>
      <c r="S415" s="136"/>
      <c r="T415" s="136"/>
      <c r="U415" s="136"/>
      <c r="V415" s="136"/>
      <c r="W415" s="136"/>
      <c r="X415" s="136"/>
      <c r="Y415" s="136"/>
      <c r="Z415" s="136"/>
      <c r="AA415" s="136"/>
      <c r="AB415" s="136"/>
      <c r="AC415" s="136"/>
      <c r="AD415" s="136"/>
      <c r="AE415" s="136"/>
      <c r="AF415" s="136"/>
      <c r="AG415" s="136"/>
      <c r="AH415" s="136"/>
      <c r="AI415" s="136"/>
      <c r="AJ415" s="136"/>
      <c r="AK415" s="136"/>
      <c r="AL415" s="136"/>
      <c r="AM415" s="136"/>
      <c r="AN415" s="136"/>
      <c r="AO415" s="136"/>
    </row>
    <row r="416" spans="1:41" ht="15.75" customHeight="1">
      <c r="A416" s="102" t="s">
        <v>180</v>
      </c>
      <c r="B416" s="597">
        <f>('Pivot Table for Data Exchange'!$P$187)*100</f>
        <v>89.327677595250293</v>
      </c>
      <c r="C416" s="597">
        <f>('Pivot Table for Data Exchange'!$P$190)*100</f>
        <v>0.47953831462695651</v>
      </c>
      <c r="D416" s="603">
        <f t="shared" si="51"/>
        <v>10.192784090122755</v>
      </c>
      <c r="E416" s="597">
        <f>('Pivot Table for Data Exchange'!$P$193)*100</f>
        <v>10.192784090122755</v>
      </c>
      <c r="F416" s="597">
        <f>('Pivot Table for Data Exchange'!$P$196)*100</f>
        <v>0</v>
      </c>
      <c r="G416" s="599">
        <f>('Pivot Table for Data Exchange'!$P$199)*100</f>
        <v>0</v>
      </c>
      <c r="H416" s="597">
        <f>('Pivot Table for Data Exchange'!$P$202)*100</f>
        <v>0</v>
      </c>
      <c r="I416" s="102"/>
      <c r="J416" s="119"/>
      <c r="K416" s="119"/>
      <c r="L416" s="119"/>
      <c r="M416" s="119"/>
      <c r="N416" s="119"/>
      <c r="O416" s="119"/>
      <c r="P416" s="119"/>
      <c r="Q416" s="602">
        <f t="shared" si="50"/>
        <v>100</v>
      </c>
      <c r="R416" s="135"/>
      <c r="S416" s="136"/>
      <c r="T416" s="136"/>
      <c r="U416" s="136"/>
      <c r="V416" s="136"/>
      <c r="W416" s="136"/>
      <c r="X416" s="136"/>
      <c r="Y416" s="136"/>
      <c r="Z416" s="136"/>
      <c r="AA416" s="136"/>
      <c r="AB416" s="136"/>
      <c r="AC416" s="136"/>
      <c r="AD416" s="136"/>
      <c r="AE416" s="136"/>
      <c r="AF416" s="136"/>
      <c r="AG416" s="136"/>
      <c r="AH416" s="136"/>
      <c r="AI416" s="136"/>
      <c r="AJ416" s="136"/>
      <c r="AK416" s="136"/>
      <c r="AL416" s="136"/>
      <c r="AM416" s="136"/>
      <c r="AN416" s="136"/>
      <c r="AO416" s="136"/>
    </row>
    <row r="417" spans="1:41" ht="15.75" customHeight="1">
      <c r="A417" s="102" t="s">
        <v>181</v>
      </c>
      <c r="B417" s="597">
        <f>('Pivot Table for Data Exchange'!$P$223)*100</f>
        <v>0</v>
      </c>
      <c r="C417" s="597">
        <f>('Pivot Table for Data Exchange'!$P$226)*100</f>
        <v>0</v>
      </c>
      <c r="D417" s="603">
        <f>SUM(E417:G417)</f>
        <v>0</v>
      </c>
      <c r="E417" s="597">
        <f>('Pivot Table for Data Exchange'!$P$229)*100</f>
        <v>0</v>
      </c>
      <c r="F417" s="597">
        <f>('Pivot Table for Data Exchange'!$P$232)*100</f>
        <v>0</v>
      </c>
      <c r="G417" s="599">
        <f>('Pivot Table for Data Exchange'!$P$235)*100</f>
        <v>0</v>
      </c>
      <c r="H417" s="597">
        <f>('Pivot Table for Data Exchange'!$P$238)*100</f>
        <v>0</v>
      </c>
      <c r="I417" s="124"/>
      <c r="J417" s="119"/>
      <c r="K417" s="119"/>
      <c r="L417" s="119"/>
      <c r="M417" s="119"/>
      <c r="N417" s="119"/>
      <c r="O417" s="119"/>
      <c r="P417" s="119"/>
      <c r="Q417" s="602">
        <f t="shared" si="50"/>
        <v>0</v>
      </c>
      <c r="R417" s="135"/>
      <c r="S417" s="136"/>
      <c r="T417" s="142"/>
      <c r="U417" s="136"/>
      <c r="V417" s="136"/>
      <c r="W417" s="136"/>
      <c r="X417" s="136"/>
      <c r="Y417" s="136"/>
      <c r="Z417" s="136"/>
      <c r="AA417" s="136"/>
      <c r="AB417" s="136"/>
      <c r="AC417" s="136"/>
      <c r="AD417" s="136"/>
      <c r="AE417" s="136"/>
      <c r="AF417" s="136"/>
      <c r="AG417" s="136"/>
      <c r="AH417" s="136"/>
      <c r="AI417" s="136"/>
      <c r="AJ417" s="136"/>
      <c r="AK417" s="136"/>
      <c r="AL417" s="136"/>
      <c r="AM417" s="136"/>
      <c r="AN417" s="136"/>
      <c r="AO417" s="136"/>
    </row>
    <row r="418" spans="1:41" ht="15.75" customHeight="1">
      <c r="A418" s="102" t="s">
        <v>222</v>
      </c>
      <c r="B418" s="597">
        <f>('Pivot Table for Data Exchange'!$P$259)*100</f>
        <v>0</v>
      </c>
      <c r="C418" s="597">
        <f>('Pivot Table for Data Exchange'!$P$262)*100</f>
        <v>0</v>
      </c>
      <c r="D418" s="603">
        <f>SUM(E418:G418)</f>
        <v>0</v>
      </c>
      <c r="E418" s="597">
        <f>('Pivot Table for Data Exchange'!$P$265)*100</f>
        <v>0</v>
      </c>
      <c r="F418" s="597">
        <f>('Pivot Table for Data Exchange'!$P$268)*100</f>
        <v>0</v>
      </c>
      <c r="G418" s="599">
        <f>('Pivot Table for Data Exchange'!$P$271)*100</f>
        <v>0</v>
      </c>
      <c r="H418" s="597">
        <f>('Pivot Table for Data Exchange'!$P$274)*100</f>
        <v>0</v>
      </c>
      <c r="I418" s="102"/>
      <c r="J418" s="119"/>
      <c r="K418" s="119"/>
      <c r="L418" s="119"/>
      <c r="M418" s="119"/>
      <c r="N418" s="119"/>
      <c r="O418" s="119"/>
      <c r="P418" s="119"/>
      <c r="Q418" s="602">
        <f t="shared" si="50"/>
        <v>0</v>
      </c>
      <c r="R418" s="135"/>
      <c r="S418" s="136"/>
      <c r="U418" s="136"/>
      <c r="V418" s="136"/>
      <c r="W418" s="136"/>
      <c r="X418" s="136"/>
      <c r="Y418" s="136"/>
      <c r="Z418" s="136"/>
      <c r="AA418" s="136"/>
      <c r="AB418" s="136"/>
      <c r="AC418" s="136"/>
      <c r="AD418" s="136"/>
      <c r="AE418" s="136"/>
      <c r="AF418" s="136"/>
      <c r="AG418" s="136"/>
      <c r="AH418" s="136"/>
      <c r="AI418" s="136"/>
      <c r="AJ418" s="136"/>
      <c r="AK418" s="136"/>
      <c r="AL418" s="136"/>
      <c r="AM418" s="136"/>
      <c r="AN418" s="136"/>
      <c r="AO418" s="136"/>
    </row>
    <row r="419" spans="1:41" ht="15.75" customHeight="1">
      <c r="A419" s="102"/>
      <c r="B419" s="597"/>
      <c r="C419" s="597"/>
      <c r="D419" s="603"/>
      <c r="E419" s="597"/>
      <c r="F419" s="597"/>
      <c r="G419" s="599"/>
      <c r="H419" s="597"/>
      <c r="I419" s="102"/>
      <c r="J419" s="119"/>
      <c r="K419" s="119"/>
      <c r="L419" s="119"/>
      <c r="M419" s="119"/>
      <c r="N419" s="119"/>
      <c r="O419" s="119"/>
      <c r="P419" s="119"/>
      <c r="Q419" s="602">
        <f t="shared" si="50"/>
        <v>0</v>
      </c>
      <c r="R419" s="135"/>
      <c r="S419" s="136"/>
      <c r="U419" s="136"/>
      <c r="V419" s="136"/>
      <c r="W419" s="136"/>
      <c r="X419" s="136"/>
      <c r="Y419" s="136"/>
      <c r="Z419" s="136"/>
      <c r="AA419" s="136"/>
      <c r="AB419" s="136"/>
      <c r="AC419" s="136"/>
      <c r="AD419" s="136"/>
      <c r="AE419" s="136"/>
      <c r="AF419" s="136"/>
      <c r="AG419" s="136"/>
      <c r="AH419" s="136"/>
      <c r="AI419" s="136"/>
      <c r="AJ419" s="136"/>
      <c r="AK419" s="136"/>
      <c r="AL419" s="136"/>
      <c r="AM419" s="136"/>
      <c r="AN419" s="136"/>
      <c r="AO419" s="136"/>
    </row>
    <row r="420" spans="1:41" ht="15.75" customHeight="1">
      <c r="A420" s="102" t="s">
        <v>183</v>
      </c>
      <c r="B420" s="597">
        <f>('Pivot Table for Data Exchange'!$P$295)*100</f>
        <v>0</v>
      </c>
      <c r="C420" s="597">
        <f>('Pivot Table for Data Exchange'!$P$298)*100</f>
        <v>0</v>
      </c>
      <c r="D420" s="603">
        <f>SUM(E420:G420)</f>
        <v>0</v>
      </c>
      <c r="E420" s="597">
        <f>('Pivot Table for Data Exchange'!$P$301)*100</f>
        <v>0</v>
      </c>
      <c r="F420" s="597">
        <f>('Pivot Table for Data Exchange'!$P$304)*100</f>
        <v>0</v>
      </c>
      <c r="G420" s="599">
        <f>('Pivot Table for Data Exchange'!$P$307)*100</f>
        <v>0</v>
      </c>
      <c r="H420" s="597">
        <f>('Pivot Table for Data Exchange'!$P$310)*100</f>
        <v>0</v>
      </c>
      <c r="I420" s="102"/>
      <c r="J420" s="119"/>
      <c r="K420" s="119"/>
      <c r="L420" s="119"/>
      <c r="M420" s="119"/>
      <c r="N420" s="119"/>
      <c r="O420" s="119"/>
      <c r="P420" s="119"/>
      <c r="Q420" s="602">
        <f t="shared" si="50"/>
        <v>0</v>
      </c>
      <c r="R420" s="135"/>
      <c r="S420" s="136"/>
      <c r="T420" s="136"/>
      <c r="U420" s="136"/>
      <c r="V420" s="136"/>
      <c r="W420" s="136"/>
      <c r="X420" s="136"/>
      <c r="Y420" s="136"/>
      <c r="Z420" s="136"/>
      <c r="AA420" s="136"/>
      <c r="AB420" s="136"/>
      <c r="AC420" s="136"/>
      <c r="AD420" s="136"/>
      <c r="AE420" s="136"/>
      <c r="AF420" s="136"/>
      <c r="AG420" s="136"/>
      <c r="AH420" s="136"/>
      <c r="AI420" s="136"/>
      <c r="AJ420" s="136"/>
      <c r="AK420" s="136"/>
      <c r="AL420" s="136"/>
      <c r="AM420" s="136"/>
      <c r="AN420" s="136"/>
      <c r="AO420" s="136"/>
    </row>
    <row r="421" spans="1:41" ht="15.75" customHeight="1">
      <c r="A421" s="102" t="s">
        <v>184</v>
      </c>
      <c r="B421" s="597">
        <f>('Pivot Table for Data Exchange'!$P$331)*100</f>
        <v>0</v>
      </c>
      <c r="C421" s="597">
        <f>('Pivot Table for Data Exchange'!$P$334)*100</f>
        <v>0</v>
      </c>
      <c r="D421" s="603">
        <f>SUM(E421:G421)</f>
        <v>0</v>
      </c>
      <c r="E421" s="597">
        <f>('Pivot Table for Data Exchange'!$P$337)*100</f>
        <v>0</v>
      </c>
      <c r="F421" s="597">
        <f>('Pivot Table for Data Exchange'!$P$340)*100</f>
        <v>0</v>
      </c>
      <c r="G421" s="599">
        <f>('Pivot Table for Data Exchange'!$P$343)*100</f>
        <v>0</v>
      </c>
      <c r="H421" s="597">
        <f>('Pivot Table for Data Exchange'!$P$346)*100</f>
        <v>0</v>
      </c>
      <c r="I421" s="102"/>
      <c r="J421" s="119"/>
      <c r="K421" s="119"/>
      <c r="L421" s="119"/>
      <c r="M421" s="119"/>
      <c r="N421" s="119"/>
      <c r="O421" s="119"/>
      <c r="P421" s="119"/>
      <c r="Q421" s="602">
        <f t="shared" si="50"/>
        <v>0</v>
      </c>
      <c r="R421" s="135"/>
      <c r="S421" s="136"/>
      <c r="T421" s="136"/>
      <c r="U421" s="136"/>
      <c r="V421" s="136"/>
      <c r="W421" s="136"/>
      <c r="X421" s="136"/>
      <c r="Y421" s="136"/>
      <c r="Z421" s="136"/>
      <c r="AA421" s="136"/>
      <c r="AB421" s="136"/>
      <c r="AC421" s="136"/>
      <c r="AD421" s="136"/>
      <c r="AE421" s="136"/>
      <c r="AF421" s="136"/>
      <c r="AG421" s="136"/>
      <c r="AH421" s="136"/>
      <c r="AI421" s="136"/>
      <c r="AJ421" s="136"/>
      <c r="AK421" s="136"/>
      <c r="AL421" s="136"/>
      <c r="AM421" s="136"/>
      <c r="AN421" s="136"/>
      <c r="AO421" s="136"/>
    </row>
    <row r="422" spans="1:41" ht="15.75" customHeight="1">
      <c r="A422" s="102" t="s">
        <v>185</v>
      </c>
      <c r="B422" s="597">
        <f>('Pivot Table for Data Exchange'!$P$367)*100</f>
        <v>0</v>
      </c>
      <c r="C422" s="597">
        <f>('Pivot Table for Data Exchange'!$P$370)*100</f>
        <v>0</v>
      </c>
      <c r="D422" s="603">
        <f>SUM(E422:G422)</f>
        <v>0</v>
      </c>
      <c r="E422" s="597">
        <f>('Pivot Table for Data Exchange'!$P$373)*100</f>
        <v>0</v>
      </c>
      <c r="F422" s="597">
        <f>('Pivot Table for Data Exchange'!$P$376)*100</f>
        <v>0</v>
      </c>
      <c r="G422" s="599">
        <f>('Pivot Table for Data Exchange'!$P$379)*100</f>
        <v>0</v>
      </c>
      <c r="H422" s="597">
        <f>('Pivot Table for Data Exchange'!$P$382)*100</f>
        <v>0</v>
      </c>
      <c r="I422" s="102"/>
      <c r="J422" s="119"/>
      <c r="K422" s="119"/>
      <c r="L422" s="119"/>
      <c r="M422" s="119"/>
      <c r="N422" s="119"/>
      <c r="O422" s="119"/>
      <c r="P422" s="119"/>
      <c r="Q422" s="602">
        <f t="shared" si="50"/>
        <v>0</v>
      </c>
      <c r="R422" s="135"/>
      <c r="S422" s="136"/>
      <c r="T422" s="142"/>
      <c r="U422" s="136"/>
      <c r="V422" s="136"/>
      <c r="W422" s="136"/>
      <c r="X422" s="136"/>
      <c r="Y422" s="136"/>
      <c r="Z422" s="136"/>
      <c r="AA422" s="136"/>
      <c r="AB422" s="136"/>
      <c r="AC422" s="136"/>
      <c r="AD422" s="136"/>
      <c r="AE422" s="136"/>
      <c r="AF422" s="136"/>
      <c r="AG422" s="136"/>
      <c r="AH422" s="136"/>
      <c r="AI422" s="136"/>
      <c r="AJ422" s="136"/>
      <c r="AK422" s="136"/>
      <c r="AL422" s="136"/>
      <c r="AM422" s="136"/>
      <c r="AN422" s="136"/>
      <c r="AO422" s="136"/>
    </row>
    <row r="423" spans="1:41" ht="15.75" customHeight="1">
      <c r="A423" s="102" t="s">
        <v>186</v>
      </c>
      <c r="B423" s="597">
        <f>('Pivot Table for Data Exchange'!$P$403)*100</f>
        <v>0</v>
      </c>
      <c r="C423" s="597">
        <f>('Pivot Table for Data Exchange'!$P$406)*100</f>
        <v>0</v>
      </c>
      <c r="D423" s="603">
        <f>SUM(E423:G423)</f>
        <v>0</v>
      </c>
      <c r="E423" s="597">
        <f>('Pivot Table for Data Exchange'!$P$409)*100</f>
        <v>0</v>
      </c>
      <c r="F423" s="597">
        <f>('Pivot Table for Data Exchange'!$P$412)*100</f>
        <v>0</v>
      </c>
      <c r="G423" s="599">
        <f>('Pivot Table for Data Exchange'!$P$415)*100</f>
        <v>0</v>
      </c>
      <c r="H423" s="597">
        <f>('Pivot Table for Data Exchange'!$P$418)*100</f>
        <v>0</v>
      </c>
      <c r="I423" s="102"/>
      <c r="J423" s="119"/>
      <c r="K423" s="119"/>
      <c r="L423" s="119"/>
      <c r="M423" s="119"/>
      <c r="N423" s="119"/>
      <c r="O423" s="119"/>
      <c r="P423" s="119"/>
      <c r="Q423" s="602">
        <f t="shared" si="50"/>
        <v>0</v>
      </c>
      <c r="R423" s="135"/>
      <c r="S423" s="136"/>
      <c r="T423" s="136"/>
      <c r="U423" s="136"/>
      <c r="V423" s="136"/>
      <c r="W423" s="136"/>
      <c r="X423" s="136"/>
      <c r="Y423" s="136"/>
      <c r="Z423" s="136"/>
      <c r="AA423" s="136"/>
      <c r="AB423" s="136"/>
      <c r="AC423" s="136"/>
      <c r="AD423" s="136"/>
      <c r="AE423" s="136"/>
      <c r="AF423" s="136"/>
      <c r="AG423" s="136"/>
      <c r="AH423" s="136"/>
      <c r="AI423" s="136"/>
      <c r="AJ423" s="136"/>
      <c r="AK423" s="136"/>
      <c r="AL423" s="136"/>
      <c r="AM423" s="136"/>
      <c r="AN423" s="136"/>
      <c r="AO423" s="136"/>
    </row>
    <row r="424" spans="1:41" ht="15.75" customHeight="1">
      <c r="A424" s="102"/>
      <c r="B424" s="597"/>
      <c r="C424" s="597"/>
      <c r="D424" s="603"/>
      <c r="E424" s="597"/>
      <c r="F424" s="597"/>
      <c r="G424" s="599"/>
      <c r="H424" s="597"/>
      <c r="I424" s="102"/>
      <c r="J424" s="119"/>
      <c r="K424" s="119"/>
      <c r="L424" s="119"/>
      <c r="M424" s="119"/>
      <c r="N424" s="119"/>
      <c r="O424" s="119"/>
      <c r="P424" s="119"/>
      <c r="Q424" s="602">
        <f t="shared" si="50"/>
        <v>0</v>
      </c>
      <c r="R424" s="135"/>
      <c r="S424" s="136"/>
      <c r="T424" s="136"/>
      <c r="U424" s="136"/>
      <c r="V424" s="136"/>
      <c r="W424" s="136"/>
      <c r="X424" s="136"/>
      <c r="Y424" s="136"/>
      <c r="Z424" s="136"/>
      <c r="AA424" s="136"/>
      <c r="AB424" s="136"/>
      <c r="AC424" s="136"/>
      <c r="AD424" s="136"/>
      <c r="AE424" s="136"/>
      <c r="AF424" s="136"/>
      <c r="AG424" s="136"/>
      <c r="AH424" s="136"/>
      <c r="AI424" s="136"/>
      <c r="AJ424" s="136"/>
      <c r="AK424" s="136"/>
      <c r="AL424" s="136"/>
      <c r="AM424" s="136"/>
      <c r="AN424" s="136"/>
      <c r="AO424" s="136"/>
    </row>
    <row r="425" spans="1:41" ht="15.75" customHeight="1">
      <c r="A425" s="102" t="s">
        <v>187</v>
      </c>
      <c r="B425" s="597">
        <f>('Pivot Table for Data Exchange'!$P$439)*100</f>
        <v>0</v>
      </c>
      <c r="C425" s="597">
        <f>('Pivot Table for Data Exchange'!$P$442)*100</f>
        <v>0</v>
      </c>
      <c r="D425" s="603">
        <f>SUM(E425:G425)</f>
        <v>0</v>
      </c>
      <c r="E425" s="597">
        <f>('Pivot Table for Data Exchange'!$P$445)*100</f>
        <v>0</v>
      </c>
      <c r="F425" s="597">
        <f>('Pivot Table for Data Exchange'!$P$448)*100</f>
        <v>0</v>
      </c>
      <c r="G425" s="599">
        <f>('Pivot Table for Data Exchange'!$P$451)*100</f>
        <v>0</v>
      </c>
      <c r="H425" s="597">
        <f>('Pivot Table for Data Exchange'!$P$454)*100</f>
        <v>0</v>
      </c>
      <c r="I425" s="102"/>
      <c r="J425" s="119"/>
      <c r="K425" s="119"/>
      <c r="L425" s="119"/>
      <c r="M425" s="119"/>
      <c r="N425" s="119"/>
      <c r="O425" s="119"/>
      <c r="P425" s="119"/>
      <c r="Q425" s="602">
        <f t="shared" si="50"/>
        <v>0</v>
      </c>
      <c r="R425" s="135"/>
      <c r="S425" s="136"/>
      <c r="T425" s="136"/>
      <c r="U425" s="136"/>
      <c r="V425" s="136"/>
      <c r="W425" s="136"/>
      <c r="X425" s="136"/>
      <c r="Y425" s="136"/>
      <c r="Z425" s="136"/>
      <c r="AA425" s="136"/>
      <c r="AB425" s="136"/>
      <c r="AC425" s="136"/>
      <c r="AD425" s="136"/>
      <c r="AE425" s="136"/>
      <c r="AF425" s="136"/>
      <c r="AG425" s="136"/>
      <c r="AH425" s="136"/>
      <c r="AI425" s="136"/>
      <c r="AJ425" s="136"/>
      <c r="AK425" s="136"/>
      <c r="AL425" s="136"/>
      <c r="AM425" s="136"/>
      <c r="AN425" s="136"/>
      <c r="AO425" s="136"/>
    </row>
    <row r="426" spans="1:41" ht="15.75" customHeight="1">
      <c r="A426" s="102" t="s">
        <v>188</v>
      </c>
      <c r="B426" s="597">
        <f>('Pivot Table for Data Exchange'!$P$475)*100</f>
        <v>0</v>
      </c>
      <c r="C426" s="597">
        <f>('Pivot Table for Data Exchange'!$P$478)*100</f>
        <v>0</v>
      </c>
      <c r="D426" s="603">
        <f>SUM(E426:G426)</f>
        <v>0</v>
      </c>
      <c r="E426" s="597">
        <f>('Pivot Table for Data Exchange'!$P$481)*100</f>
        <v>0</v>
      </c>
      <c r="F426" s="597">
        <f>('Pivot Table for Data Exchange'!$P$484)*100</f>
        <v>0</v>
      </c>
      <c r="G426" s="599">
        <f>('Pivot Table for Data Exchange'!$P$487)*100</f>
        <v>0</v>
      </c>
      <c r="H426" s="597">
        <f>('Pivot Table for Data Exchange'!$P$490)*100</f>
        <v>0</v>
      </c>
      <c r="I426" s="102"/>
      <c r="J426" s="119"/>
      <c r="K426" s="119"/>
      <c r="L426" s="119"/>
      <c r="M426" s="119"/>
      <c r="N426" s="119"/>
      <c r="O426" s="119"/>
      <c r="P426" s="119"/>
      <c r="Q426" s="602">
        <f t="shared" si="50"/>
        <v>0</v>
      </c>
      <c r="R426" s="135"/>
      <c r="S426" s="136"/>
      <c r="T426" s="136"/>
      <c r="U426" s="136"/>
      <c r="V426" s="136"/>
      <c r="W426" s="136"/>
      <c r="X426" s="136"/>
      <c r="Y426" s="136"/>
      <c r="Z426" s="136"/>
      <c r="AA426" s="136"/>
      <c r="AB426" s="136"/>
      <c r="AC426" s="136"/>
      <c r="AD426" s="136"/>
      <c r="AE426" s="136"/>
      <c r="AF426" s="136"/>
      <c r="AG426" s="136"/>
      <c r="AH426" s="136"/>
      <c r="AI426" s="136"/>
      <c r="AJ426" s="136"/>
      <c r="AK426" s="136"/>
      <c r="AL426" s="136"/>
      <c r="AM426" s="136"/>
      <c r="AN426" s="136"/>
      <c r="AO426" s="136"/>
    </row>
    <row r="427" spans="1:41" ht="15.75" customHeight="1">
      <c r="A427" s="102" t="s">
        <v>189</v>
      </c>
      <c r="B427" s="597">
        <f>('Pivot Table for Data Exchange'!$P$511)*100</f>
        <v>0</v>
      </c>
      <c r="C427" s="597">
        <f>('Pivot Table for Data Exchange'!$P$514)*100</f>
        <v>0</v>
      </c>
      <c r="D427" s="603">
        <f>SUM(E427:G427)</f>
        <v>0</v>
      </c>
      <c r="E427" s="597">
        <f>('Pivot Table for Data Exchange'!$P$517)*100</f>
        <v>0</v>
      </c>
      <c r="F427" s="597">
        <f>('Pivot Table for Data Exchange'!$P$520)*100</f>
        <v>0</v>
      </c>
      <c r="G427" s="599">
        <f>('Pivot Table for Data Exchange'!$P$523)*100</f>
        <v>0</v>
      </c>
      <c r="H427" s="597">
        <f>('Pivot Table for Data Exchange'!$P$526)*100</f>
        <v>0</v>
      </c>
      <c r="I427" s="102"/>
      <c r="J427" s="119"/>
      <c r="K427" s="119"/>
      <c r="L427" s="119"/>
      <c r="M427" s="119"/>
      <c r="N427" s="119"/>
      <c r="O427" s="119"/>
      <c r="P427" s="119"/>
      <c r="Q427" s="602">
        <f t="shared" si="50"/>
        <v>0</v>
      </c>
      <c r="R427" s="135"/>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row>
    <row r="428" spans="1:41" ht="15.75" customHeight="1">
      <c r="A428" s="76" t="s">
        <v>190</v>
      </c>
      <c r="B428" s="600">
        <f>('Pivot Table for Data Exchange'!$P$547)*100</f>
        <v>0</v>
      </c>
      <c r="C428" s="600">
        <f>('Pivot Table for Data Exchange'!$P$550)*100</f>
        <v>0</v>
      </c>
      <c r="D428" s="604">
        <f>SUM(E428:G428)</f>
        <v>0</v>
      </c>
      <c r="E428" s="600">
        <f>('Pivot Table for Data Exchange'!$P$553)*100</f>
        <v>0</v>
      </c>
      <c r="F428" s="600">
        <f>('Pivot Table for Data Exchange'!$P$556)*100</f>
        <v>0</v>
      </c>
      <c r="G428" s="601">
        <f>('Pivot Table for Data Exchange'!$P$559)*100</f>
        <v>0</v>
      </c>
      <c r="H428" s="600">
        <f>('Pivot Table for Data Exchange'!$P$562)*100</f>
        <v>0</v>
      </c>
      <c r="I428" s="102"/>
      <c r="J428" s="119"/>
      <c r="K428" s="119"/>
      <c r="L428" s="119"/>
      <c r="M428" s="119"/>
      <c r="N428" s="119"/>
      <c r="O428" s="119"/>
      <c r="P428" s="119"/>
      <c r="Q428" s="602">
        <f t="shared" si="50"/>
        <v>0</v>
      </c>
      <c r="R428" s="135"/>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row>
    <row r="429" spans="1:41" s="141" customFormat="1" ht="18" customHeight="1">
      <c r="A429" s="43" t="s">
        <v>219</v>
      </c>
      <c r="B429" s="106"/>
      <c r="C429" s="106"/>
      <c r="D429" s="107"/>
      <c r="E429" s="106"/>
      <c r="F429" s="107"/>
      <c r="G429" s="107"/>
      <c r="H429" s="106"/>
      <c r="I429" s="43"/>
      <c r="J429" s="106"/>
      <c r="K429" s="106"/>
      <c r="L429" s="107"/>
      <c r="M429" s="106"/>
      <c r="N429" s="107"/>
      <c r="O429" s="107"/>
      <c r="P429" s="106"/>
      <c r="Q429" s="602">
        <f t="shared" si="50"/>
        <v>0</v>
      </c>
      <c r="R429" s="139"/>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row>
    <row r="430" spans="1:41" s="141" customFormat="1" ht="13.5" customHeight="1">
      <c r="A430" s="43"/>
      <c r="B430" s="114"/>
      <c r="C430" s="45"/>
      <c r="D430" s="45"/>
      <c r="E430" s="45"/>
      <c r="F430" s="45"/>
      <c r="G430" s="45"/>
      <c r="H430" s="45"/>
      <c r="I430" s="43"/>
      <c r="J430" s="45"/>
      <c r="K430" s="45"/>
      <c r="L430" s="45"/>
      <c r="M430" s="45"/>
      <c r="N430" s="45"/>
      <c r="O430" s="45"/>
      <c r="P430" s="115"/>
      <c r="Q430" s="602">
        <f t="shared" si="50"/>
        <v>0</v>
      </c>
      <c r="R430" s="144"/>
    </row>
    <row r="431" spans="1:41" s="141" customFormat="1" ht="13.5" customHeight="1">
      <c r="A431" s="113"/>
      <c r="B431" s="45"/>
      <c r="C431" s="45"/>
      <c r="D431" s="45"/>
      <c r="E431" s="45"/>
      <c r="F431" s="45"/>
      <c r="G431" s="45"/>
      <c r="H431" s="49" t="s">
        <v>900</v>
      </c>
      <c r="I431" s="113"/>
      <c r="J431" s="45"/>
      <c r="K431" s="45"/>
      <c r="L431" s="45"/>
      <c r="M431" s="45"/>
      <c r="N431" s="45"/>
      <c r="O431" s="45"/>
      <c r="P431" s="45"/>
      <c r="Q431" s="602">
        <f t="shared" si="50"/>
        <v>0</v>
      </c>
      <c r="R431" s="144"/>
    </row>
    <row r="432" spans="1:41" ht="18">
      <c r="A432" s="16" t="s">
        <v>279</v>
      </c>
      <c r="B432" s="71"/>
      <c r="C432" s="71"/>
      <c r="D432" s="71"/>
      <c r="E432" s="71"/>
      <c r="F432" s="71"/>
      <c r="G432" s="71"/>
      <c r="H432" s="72"/>
      <c r="I432" s="118"/>
      <c r="J432" s="102"/>
      <c r="K432" s="102"/>
      <c r="L432" s="102"/>
      <c r="M432" s="102"/>
      <c r="N432" s="102"/>
      <c r="O432" s="102"/>
      <c r="P432" s="102"/>
      <c r="Q432" s="602">
        <f t="shared" si="50"/>
        <v>0</v>
      </c>
    </row>
    <row r="433" spans="1:41">
      <c r="A433" s="22"/>
      <c r="B433" s="23"/>
      <c r="C433" s="23"/>
      <c r="D433" s="23"/>
      <c r="E433" s="23"/>
      <c r="F433" s="23"/>
      <c r="G433" s="23"/>
      <c r="H433" s="73"/>
      <c r="I433" s="118"/>
      <c r="J433" s="102"/>
      <c r="K433" s="102"/>
      <c r="L433" s="102"/>
      <c r="M433" s="102"/>
      <c r="N433" s="102"/>
      <c r="O433" s="102"/>
      <c r="P433" s="102"/>
      <c r="Q433" s="602">
        <f t="shared" si="50"/>
        <v>0</v>
      </c>
    </row>
    <row r="434" spans="1:41" ht="15.75">
      <c r="A434" s="74" t="s">
        <v>205</v>
      </c>
      <c r="B434" s="23"/>
      <c r="C434" s="23"/>
      <c r="D434" s="23"/>
      <c r="E434" s="23"/>
      <c r="F434" s="23"/>
      <c r="G434" s="23"/>
      <c r="H434" s="73"/>
      <c r="I434" s="118"/>
      <c r="J434" s="102"/>
      <c r="K434" s="102"/>
      <c r="L434" s="102"/>
      <c r="M434" s="102"/>
      <c r="N434" s="102"/>
      <c r="O434" s="102"/>
      <c r="P434" s="102"/>
      <c r="Q434" s="602">
        <f t="shared" si="50"/>
        <v>0</v>
      </c>
    </row>
    <row r="435" spans="1:41" ht="15.75">
      <c r="A435" s="74" t="s">
        <v>895</v>
      </c>
      <c r="B435" s="23"/>
      <c r="C435" s="23"/>
      <c r="D435" s="23"/>
      <c r="E435" s="23"/>
      <c r="F435" s="23"/>
      <c r="G435" s="23"/>
      <c r="H435" s="73"/>
      <c r="I435" s="118"/>
      <c r="J435" s="102"/>
      <c r="K435" s="102"/>
      <c r="L435" s="102"/>
      <c r="M435" s="102"/>
      <c r="N435" s="102"/>
      <c r="O435" s="102"/>
      <c r="P435" s="102"/>
      <c r="Q435" s="602">
        <f t="shared" si="50"/>
        <v>0</v>
      </c>
    </row>
    <row r="436" spans="1:41">
      <c r="A436" s="76"/>
      <c r="B436" s="77"/>
      <c r="C436" s="77"/>
      <c r="D436" s="77"/>
      <c r="E436" s="77"/>
      <c r="F436" s="77"/>
      <c r="G436" s="77"/>
      <c r="H436" s="77"/>
      <c r="I436" s="118"/>
      <c r="J436" s="102"/>
      <c r="K436" s="102"/>
      <c r="L436" s="102"/>
      <c r="M436" s="102"/>
      <c r="N436" s="102"/>
      <c r="O436" s="102"/>
      <c r="P436" s="102"/>
      <c r="Q436" s="602">
        <f t="shared" si="50"/>
        <v>0</v>
      </c>
    </row>
    <row r="437" spans="1:41">
      <c r="A437" s="80"/>
      <c r="B437" s="81" t="s">
        <v>207</v>
      </c>
      <c r="C437" s="81"/>
      <c r="D437" s="81"/>
      <c r="E437" s="81"/>
      <c r="F437" s="81"/>
      <c r="G437" s="81"/>
      <c r="H437" s="82"/>
      <c r="I437" s="118"/>
      <c r="J437" s="102"/>
      <c r="K437" s="102"/>
      <c r="L437" s="102"/>
      <c r="M437" s="102"/>
      <c r="N437" s="102"/>
      <c r="O437" s="102"/>
      <c r="P437" s="102"/>
      <c r="Q437" s="602">
        <f t="shared" si="50"/>
        <v>0</v>
      </c>
    </row>
    <row r="438" spans="1:41">
      <c r="A438" s="80"/>
      <c r="B438" s="81" t="s">
        <v>208</v>
      </c>
      <c r="C438" s="81"/>
      <c r="D438" s="653" t="s">
        <v>209</v>
      </c>
      <c r="E438" s="654"/>
      <c r="F438" s="654"/>
      <c r="G438" s="654"/>
      <c r="H438" s="86" t="s">
        <v>39</v>
      </c>
      <c r="I438" s="118"/>
      <c r="J438" s="102"/>
      <c r="K438" s="102"/>
      <c r="L438" s="102"/>
      <c r="M438" s="102"/>
      <c r="N438" s="102"/>
      <c r="O438" s="102"/>
      <c r="P438" s="102"/>
      <c r="Q438" s="602">
        <f t="shared" si="50"/>
        <v>0</v>
      </c>
    </row>
    <row r="439" spans="1:41" ht="36">
      <c r="A439" s="80"/>
      <c r="B439" s="87" t="s">
        <v>210</v>
      </c>
      <c r="C439" s="88" t="s">
        <v>211</v>
      </c>
      <c r="D439" s="89" t="s">
        <v>212</v>
      </c>
      <c r="E439" s="90" t="s">
        <v>7</v>
      </c>
      <c r="F439" s="87" t="s">
        <v>213</v>
      </c>
      <c r="G439" s="91" t="s">
        <v>214</v>
      </c>
      <c r="H439" s="92" t="s">
        <v>215</v>
      </c>
      <c r="I439" s="118"/>
      <c r="J439" s="102"/>
      <c r="K439" s="102"/>
      <c r="L439" s="102"/>
      <c r="M439" s="102"/>
      <c r="N439" s="102"/>
      <c r="O439" s="102"/>
      <c r="P439" s="102"/>
      <c r="Q439" s="602">
        <f t="shared" si="50"/>
        <v>0</v>
      </c>
    </row>
    <row r="440" spans="1:41" ht="15.75" customHeight="1">
      <c r="A440" s="99" t="s">
        <v>175</v>
      </c>
      <c r="B440" s="120">
        <f>('Pivot Table for Data Exchange'!$Q$7)*100</f>
        <v>66.522179461211266</v>
      </c>
      <c r="C440" s="597">
        <f>('Pivot Table for Data Exchange'!$Q$10)*100</f>
        <v>21.340895280534738</v>
      </c>
      <c r="D440" s="603">
        <f>SUM(E440:G440)</f>
        <v>12.136925258253999</v>
      </c>
      <c r="E440" s="597">
        <f>('Pivot Table for Data Exchange'!$Q$13)*100</f>
        <v>12.136925258253999</v>
      </c>
      <c r="F440" s="597">
        <f>('Pivot Table for Data Exchange'!$Q$16)*100</f>
        <v>0</v>
      </c>
      <c r="G440" s="97">
        <f>('Pivot Table for Data Exchange'!$Q$19)*100</f>
        <v>0</v>
      </c>
      <c r="H440" s="597">
        <f>('Pivot Table for Data Exchange'!$Q$22)*100</f>
        <v>0</v>
      </c>
      <c r="I440" s="102"/>
      <c r="J440" s="119"/>
      <c r="K440" s="119"/>
      <c r="L440" s="119"/>
      <c r="M440" s="119"/>
      <c r="N440" s="119"/>
      <c r="O440" s="119"/>
      <c r="P440" s="119"/>
      <c r="Q440" s="602">
        <f t="shared" si="50"/>
        <v>100</v>
      </c>
      <c r="R440" s="135"/>
      <c r="S440" s="136"/>
      <c r="T440" s="136"/>
      <c r="U440" s="136"/>
      <c r="V440" s="136"/>
      <c r="W440" s="136"/>
      <c r="X440" s="136"/>
      <c r="Y440" s="136"/>
      <c r="Z440" s="136"/>
      <c r="AA440" s="136"/>
      <c r="AB440" s="136"/>
      <c r="AC440" s="136"/>
      <c r="AD440" s="136"/>
      <c r="AE440" s="136"/>
      <c r="AF440" s="136"/>
      <c r="AG440" s="136"/>
      <c r="AH440" s="136"/>
      <c r="AI440" s="136"/>
      <c r="AJ440" s="136"/>
      <c r="AK440" s="136"/>
      <c r="AL440" s="136"/>
      <c r="AM440" s="136"/>
      <c r="AN440" s="136"/>
      <c r="AO440" s="136"/>
    </row>
    <row r="441" spans="1:41" ht="15.75" customHeight="1">
      <c r="A441" s="102" t="s">
        <v>176</v>
      </c>
      <c r="B441" s="597">
        <f>('Pivot Table for Data Exchange'!$Q$43)*100</f>
        <v>0</v>
      </c>
      <c r="C441" s="597">
        <f>('Pivot Table for Data Exchange'!$Q$46)*100</f>
        <v>0</v>
      </c>
      <c r="D441" s="603">
        <f t="shared" ref="D441:D443" si="52">SUM(E441:G441)</f>
        <v>0</v>
      </c>
      <c r="E441" s="597">
        <f>('Pivot Table for Data Exchange'!$Q$49)*100</f>
        <v>0</v>
      </c>
      <c r="F441" s="597">
        <f>('Pivot Table for Data Exchange'!$Q$52)*100</f>
        <v>0</v>
      </c>
      <c r="G441" s="599">
        <f>('Pivot Table for Data Exchange'!$Q$55)*100</f>
        <v>0</v>
      </c>
      <c r="H441" s="597">
        <f>('Pivot Table for Data Exchange'!$Q$58)*100</f>
        <v>0</v>
      </c>
      <c r="I441" s="102"/>
      <c r="J441" s="119"/>
      <c r="K441" s="119"/>
      <c r="L441" s="119"/>
      <c r="M441" s="119"/>
      <c r="N441" s="119"/>
      <c r="O441" s="119"/>
      <c r="P441" s="119"/>
      <c r="Q441" s="602">
        <f t="shared" si="50"/>
        <v>0</v>
      </c>
      <c r="R441" s="135"/>
      <c r="S441" s="136"/>
      <c r="T441" s="136"/>
      <c r="U441" s="136"/>
      <c r="V441" s="136"/>
      <c r="W441" s="136"/>
      <c r="X441" s="136"/>
      <c r="Y441" s="136"/>
      <c r="Z441" s="136"/>
      <c r="AA441" s="136"/>
      <c r="AB441" s="136"/>
      <c r="AC441" s="136"/>
      <c r="AD441" s="136"/>
      <c r="AE441" s="136"/>
      <c r="AF441" s="136"/>
      <c r="AG441" s="136"/>
      <c r="AH441" s="136"/>
      <c r="AI441" s="136"/>
      <c r="AJ441" s="136"/>
      <c r="AK441" s="136"/>
      <c r="AL441" s="136"/>
      <c r="AM441" s="136"/>
      <c r="AN441" s="136"/>
      <c r="AO441" s="136"/>
    </row>
    <row r="442" spans="1:41" ht="15.75" customHeight="1">
      <c r="A442" s="102" t="s">
        <v>177</v>
      </c>
      <c r="B442" s="597">
        <f>('Pivot Table for Data Exchange'!$Q$79)*100</f>
        <v>0</v>
      </c>
      <c r="C442" s="597">
        <f>('Pivot Table for Data Exchange'!$Q$82)*100</f>
        <v>0</v>
      </c>
      <c r="D442" s="603">
        <f t="shared" si="52"/>
        <v>0</v>
      </c>
      <c r="E442" s="597">
        <f>('Pivot Table for Data Exchange'!$Q$85)*100</f>
        <v>0</v>
      </c>
      <c r="F442" s="597">
        <f>('Pivot Table for Data Exchange'!$Q$88)*100</f>
        <v>0</v>
      </c>
      <c r="G442" s="599">
        <f>('Pivot Table for Data Exchange'!$Q$91)*100</f>
        <v>0</v>
      </c>
      <c r="H442" s="597">
        <f>('Pivot Table for Data Exchange'!$Q$94)*100</f>
        <v>0</v>
      </c>
      <c r="I442" s="102"/>
      <c r="J442" s="119"/>
      <c r="K442" s="119"/>
      <c r="L442" s="119"/>
      <c r="M442" s="119"/>
      <c r="N442" s="119"/>
      <c r="O442" s="119"/>
      <c r="P442" s="119"/>
      <c r="Q442" s="602">
        <f t="shared" si="50"/>
        <v>0</v>
      </c>
      <c r="R442" s="135"/>
      <c r="S442" s="136"/>
      <c r="T442" s="142"/>
      <c r="U442" s="136"/>
      <c r="V442" s="136"/>
      <c r="W442" s="136"/>
      <c r="X442" s="136"/>
      <c r="Y442" s="136"/>
      <c r="Z442" s="136"/>
      <c r="AA442" s="136"/>
      <c r="AB442" s="136"/>
      <c r="AC442" s="136"/>
      <c r="AD442" s="136"/>
      <c r="AE442" s="136"/>
      <c r="AF442" s="136"/>
      <c r="AG442" s="136"/>
      <c r="AH442" s="136"/>
      <c r="AI442" s="136"/>
      <c r="AJ442" s="136"/>
      <c r="AK442" s="136"/>
      <c r="AL442" s="136"/>
      <c r="AM442" s="136"/>
      <c r="AN442" s="136"/>
      <c r="AO442" s="136"/>
    </row>
    <row r="443" spans="1:41" ht="15.75" customHeight="1">
      <c r="A443" s="102" t="s">
        <v>178</v>
      </c>
      <c r="B443" s="597">
        <f>('Pivot Table for Data Exchange'!$Q$115)*100</f>
        <v>0</v>
      </c>
      <c r="C443" s="597">
        <f>('Pivot Table for Data Exchange'!$Q$118)*100</f>
        <v>0</v>
      </c>
      <c r="D443" s="603">
        <f t="shared" si="52"/>
        <v>0</v>
      </c>
      <c r="E443" s="597">
        <f>('Pivot Table for Data Exchange'!$Q$121)*100</f>
        <v>0</v>
      </c>
      <c r="F443" s="597">
        <f>('Pivot Table for Data Exchange'!$Q$124)*100</f>
        <v>0</v>
      </c>
      <c r="G443" s="599">
        <f>('Pivot Table for Data Exchange'!$Q$127)*100</f>
        <v>0</v>
      </c>
      <c r="H443" s="597">
        <f>('Pivot Table for Data Exchange'!$Q$130)*100</f>
        <v>0</v>
      </c>
      <c r="I443" s="102"/>
      <c r="J443" s="119"/>
      <c r="K443" s="119"/>
      <c r="L443" s="119"/>
      <c r="M443" s="119"/>
      <c r="N443" s="119"/>
      <c r="O443" s="119"/>
      <c r="P443" s="119"/>
      <c r="Q443" s="602">
        <f t="shared" si="50"/>
        <v>0</v>
      </c>
      <c r="R443" s="135"/>
      <c r="S443" s="136"/>
      <c r="U443" s="136"/>
      <c r="V443" s="136"/>
      <c r="W443" s="136"/>
      <c r="X443" s="136"/>
      <c r="Y443" s="136"/>
      <c r="Z443" s="136"/>
      <c r="AA443" s="136"/>
      <c r="AB443" s="136"/>
      <c r="AC443" s="136"/>
      <c r="AD443" s="136"/>
      <c r="AE443" s="136"/>
      <c r="AF443" s="136"/>
      <c r="AG443" s="136"/>
      <c r="AH443" s="136"/>
      <c r="AI443" s="136"/>
      <c r="AJ443" s="136"/>
      <c r="AK443" s="136"/>
      <c r="AL443" s="136"/>
      <c r="AM443" s="136"/>
      <c r="AN443" s="136"/>
      <c r="AO443" s="136"/>
    </row>
    <row r="444" spans="1:41" ht="15.75" customHeight="1">
      <c r="A444" s="102"/>
      <c r="B444" s="597"/>
      <c r="C444" s="597"/>
      <c r="D444" s="603"/>
      <c r="E444" s="597"/>
      <c r="F444" s="597"/>
      <c r="G444" s="599"/>
      <c r="H444" s="597"/>
      <c r="I444" s="102"/>
      <c r="J444" s="119"/>
      <c r="K444" s="119"/>
      <c r="L444" s="119"/>
      <c r="M444" s="119"/>
      <c r="N444" s="119"/>
      <c r="O444" s="119"/>
      <c r="P444" s="119"/>
      <c r="Q444" s="602">
        <f t="shared" si="50"/>
        <v>0</v>
      </c>
      <c r="R444" s="135"/>
      <c r="S444" s="136"/>
      <c r="U444" s="136"/>
      <c r="V444" s="136"/>
      <c r="W444" s="136"/>
      <c r="X444" s="136"/>
      <c r="Y444" s="136"/>
      <c r="Z444" s="136"/>
      <c r="AA444" s="136"/>
      <c r="AB444" s="136"/>
      <c r="AC444" s="136"/>
      <c r="AD444" s="136"/>
      <c r="AE444" s="136"/>
      <c r="AF444" s="136"/>
      <c r="AG444" s="136"/>
      <c r="AH444" s="136"/>
      <c r="AI444" s="136"/>
      <c r="AJ444" s="136"/>
      <c r="AK444" s="136"/>
      <c r="AL444" s="136"/>
      <c r="AM444" s="136"/>
      <c r="AN444" s="136"/>
      <c r="AO444" s="136"/>
    </row>
    <row r="445" spans="1:41" ht="15.75" customHeight="1">
      <c r="A445" s="102" t="s">
        <v>179</v>
      </c>
      <c r="B445" s="597">
        <f>('Pivot Table for Data Exchange'!$Q$151)*100</f>
        <v>0</v>
      </c>
      <c r="C445" s="597">
        <f>('Pivot Table for Data Exchange'!$Q$154)*100</f>
        <v>0</v>
      </c>
      <c r="D445" s="603">
        <f t="shared" ref="D445:D446" si="53">SUM(E445:G445)</f>
        <v>0</v>
      </c>
      <c r="E445" s="597">
        <f>('Pivot Table for Data Exchange'!$Q$157)*100</f>
        <v>0</v>
      </c>
      <c r="F445" s="597">
        <f>('Pivot Table for Data Exchange'!$Q$160)*100</f>
        <v>0</v>
      </c>
      <c r="G445" s="599">
        <f>('Pivot Table for Data Exchange'!$Q$163)*100</f>
        <v>0</v>
      </c>
      <c r="H445" s="597">
        <f>('Pivot Table for Data Exchange'!$Q$166)*100</f>
        <v>0</v>
      </c>
      <c r="I445" s="102"/>
      <c r="J445" s="119"/>
      <c r="K445" s="119"/>
      <c r="L445" s="119"/>
      <c r="M445" s="119"/>
      <c r="N445" s="119"/>
      <c r="O445" s="119"/>
      <c r="P445" s="119"/>
      <c r="Q445" s="602">
        <f t="shared" si="50"/>
        <v>0</v>
      </c>
      <c r="R445" s="135"/>
      <c r="S445" s="136"/>
      <c r="T445" s="136"/>
      <c r="U445" s="136"/>
      <c r="V445" s="136"/>
      <c r="W445" s="136"/>
      <c r="X445" s="136"/>
      <c r="Y445" s="136"/>
      <c r="Z445" s="136"/>
      <c r="AA445" s="136"/>
      <c r="AB445" s="136"/>
      <c r="AC445" s="136"/>
      <c r="AD445" s="136"/>
      <c r="AE445" s="136"/>
      <c r="AF445" s="136"/>
      <c r="AG445" s="136"/>
      <c r="AH445" s="136"/>
      <c r="AI445" s="136"/>
      <c r="AJ445" s="136"/>
      <c r="AK445" s="136"/>
      <c r="AL445" s="136"/>
      <c r="AM445" s="136"/>
      <c r="AN445" s="136"/>
      <c r="AO445" s="136"/>
    </row>
    <row r="446" spans="1:41" ht="15.75" customHeight="1">
      <c r="A446" s="102" t="s">
        <v>180</v>
      </c>
      <c r="B446" s="597">
        <f>('Pivot Table for Data Exchange'!$Q$187)*100</f>
        <v>0</v>
      </c>
      <c r="C446" s="597">
        <f>('Pivot Table for Data Exchange'!$Q$190)*100</f>
        <v>0</v>
      </c>
      <c r="D446" s="603">
        <f t="shared" si="53"/>
        <v>0</v>
      </c>
      <c r="E446" s="597">
        <f>('Pivot Table for Data Exchange'!$Q$193)*100</f>
        <v>0</v>
      </c>
      <c r="F446" s="597">
        <f>('Pivot Table for Data Exchange'!$Q$196)*100</f>
        <v>0</v>
      </c>
      <c r="G446" s="599">
        <f>('Pivot Table for Data Exchange'!$Q$199)*100</f>
        <v>0</v>
      </c>
      <c r="H446" s="597">
        <f>('Pivot Table for Data Exchange'!$Q$202)*100</f>
        <v>0</v>
      </c>
      <c r="I446" s="102"/>
      <c r="J446" s="119"/>
      <c r="K446" s="119"/>
      <c r="L446" s="119"/>
      <c r="M446" s="119"/>
      <c r="N446" s="119"/>
      <c r="O446" s="119"/>
      <c r="P446" s="119"/>
      <c r="Q446" s="602">
        <f t="shared" si="50"/>
        <v>0</v>
      </c>
      <c r="R446" s="135"/>
      <c r="S446" s="136"/>
      <c r="T446" s="136"/>
      <c r="U446" s="136"/>
      <c r="V446" s="136"/>
      <c r="W446" s="136"/>
      <c r="X446" s="136"/>
      <c r="Y446" s="136"/>
      <c r="Z446" s="136"/>
      <c r="AA446" s="136"/>
      <c r="AB446" s="136"/>
      <c r="AC446" s="136"/>
      <c r="AD446" s="136"/>
      <c r="AE446" s="136"/>
      <c r="AF446" s="136"/>
      <c r="AG446" s="136"/>
      <c r="AH446" s="136"/>
      <c r="AI446" s="136"/>
      <c r="AJ446" s="136"/>
      <c r="AK446" s="136"/>
      <c r="AL446" s="136"/>
      <c r="AM446" s="136"/>
      <c r="AN446" s="136"/>
      <c r="AO446" s="136"/>
    </row>
    <row r="447" spans="1:41" ht="15.75" customHeight="1">
      <c r="A447" s="102" t="s">
        <v>181</v>
      </c>
      <c r="B447" s="597">
        <f>('Pivot Table for Data Exchange'!$Q$223)*100</f>
        <v>0</v>
      </c>
      <c r="C447" s="597">
        <f>('Pivot Table for Data Exchange'!$Q$226)*100</f>
        <v>0</v>
      </c>
      <c r="D447" s="603">
        <f>SUM(E447:G447)</f>
        <v>0</v>
      </c>
      <c r="E447" s="597">
        <f>('Pivot Table for Data Exchange'!$Q$229)*100</f>
        <v>0</v>
      </c>
      <c r="F447" s="597">
        <f>('Pivot Table for Data Exchange'!$Q$232)*100</f>
        <v>0</v>
      </c>
      <c r="G447" s="599">
        <f>('Pivot Table for Data Exchange'!$Q$235)*100</f>
        <v>0</v>
      </c>
      <c r="H447" s="597">
        <f>('Pivot Table for Data Exchange'!$Q$238)*100</f>
        <v>0</v>
      </c>
      <c r="I447" s="124"/>
      <c r="J447" s="119"/>
      <c r="K447" s="119"/>
      <c r="L447" s="119"/>
      <c r="M447" s="119"/>
      <c r="N447" s="119"/>
      <c r="O447" s="119"/>
      <c r="P447" s="119"/>
      <c r="Q447" s="602">
        <f t="shared" si="50"/>
        <v>0</v>
      </c>
      <c r="R447" s="135"/>
      <c r="S447" s="136"/>
      <c r="T447" s="142"/>
      <c r="U447" s="136"/>
      <c r="V447" s="136"/>
      <c r="W447" s="136"/>
      <c r="X447" s="136"/>
      <c r="Y447" s="136"/>
      <c r="Z447" s="136"/>
      <c r="AA447" s="136"/>
      <c r="AB447" s="136"/>
      <c r="AC447" s="136"/>
      <c r="AD447" s="136"/>
      <c r="AE447" s="136"/>
      <c r="AF447" s="136"/>
      <c r="AG447" s="136"/>
      <c r="AH447" s="136"/>
      <c r="AI447" s="136"/>
      <c r="AJ447" s="136"/>
      <c r="AK447" s="136"/>
      <c r="AL447" s="136"/>
      <c r="AM447" s="136"/>
      <c r="AN447" s="136"/>
      <c r="AO447" s="136"/>
    </row>
    <row r="448" spans="1:41" ht="15.75" customHeight="1">
      <c r="A448" s="102" t="s">
        <v>222</v>
      </c>
      <c r="B448" s="597">
        <f>('Pivot Table for Data Exchange'!$Q$259)*100</f>
        <v>0</v>
      </c>
      <c r="C448" s="597">
        <f>('Pivot Table for Data Exchange'!$Q$262)*100</f>
        <v>0</v>
      </c>
      <c r="D448" s="603">
        <f>SUM(E448:G448)</f>
        <v>0</v>
      </c>
      <c r="E448" s="597">
        <f>('Pivot Table for Data Exchange'!$Q$265)*100</f>
        <v>0</v>
      </c>
      <c r="F448" s="597">
        <f>('Pivot Table for Data Exchange'!$Q$268)*100</f>
        <v>0</v>
      </c>
      <c r="G448" s="599">
        <f>('Pivot Table for Data Exchange'!$Q$271)*100</f>
        <v>0</v>
      </c>
      <c r="H448" s="597">
        <f>('Pivot Table for Data Exchange'!$Q$274)*100</f>
        <v>0</v>
      </c>
      <c r="I448" s="102"/>
      <c r="J448" s="119"/>
      <c r="K448" s="119"/>
      <c r="L448" s="119"/>
      <c r="M448" s="119"/>
      <c r="N448" s="119"/>
      <c r="O448" s="119"/>
      <c r="P448" s="119"/>
      <c r="Q448" s="602">
        <f t="shared" si="50"/>
        <v>0</v>
      </c>
      <c r="R448" s="135"/>
      <c r="S448" s="136"/>
      <c r="U448" s="136"/>
      <c r="V448" s="136"/>
      <c r="W448" s="136"/>
      <c r="X448" s="136"/>
      <c r="Y448" s="136"/>
      <c r="Z448" s="136"/>
      <c r="AA448" s="136"/>
      <c r="AB448" s="136"/>
      <c r="AC448" s="136"/>
      <c r="AD448" s="136"/>
      <c r="AE448" s="136"/>
      <c r="AF448" s="136"/>
      <c r="AG448" s="136"/>
      <c r="AH448" s="136"/>
      <c r="AI448" s="136"/>
      <c r="AJ448" s="136"/>
      <c r="AK448" s="136"/>
      <c r="AL448" s="136"/>
      <c r="AM448" s="136"/>
      <c r="AN448" s="136"/>
      <c r="AO448" s="136"/>
    </row>
    <row r="449" spans="1:41" ht="15.75" customHeight="1">
      <c r="A449" s="102"/>
      <c r="B449" s="597"/>
      <c r="C449" s="597"/>
      <c r="D449" s="603"/>
      <c r="E449" s="597"/>
      <c r="F449" s="597"/>
      <c r="G449" s="599"/>
      <c r="H449" s="597"/>
      <c r="I449" s="102"/>
      <c r="J449" s="119"/>
      <c r="K449" s="119"/>
      <c r="L449" s="119"/>
      <c r="M449" s="119"/>
      <c r="N449" s="119"/>
      <c r="O449" s="119"/>
      <c r="P449" s="119"/>
      <c r="Q449" s="602">
        <f t="shared" si="50"/>
        <v>0</v>
      </c>
      <c r="R449" s="135"/>
      <c r="S449" s="136"/>
      <c r="U449" s="136"/>
      <c r="V449" s="136"/>
      <c r="W449" s="136"/>
      <c r="X449" s="136"/>
      <c r="Y449" s="136"/>
      <c r="Z449" s="136"/>
      <c r="AA449" s="136"/>
      <c r="AB449" s="136"/>
      <c r="AC449" s="136"/>
      <c r="AD449" s="136"/>
      <c r="AE449" s="136"/>
      <c r="AF449" s="136"/>
      <c r="AG449" s="136"/>
      <c r="AH449" s="136"/>
      <c r="AI449" s="136"/>
      <c r="AJ449" s="136"/>
      <c r="AK449" s="136"/>
      <c r="AL449" s="136"/>
      <c r="AM449" s="136"/>
      <c r="AN449" s="136"/>
      <c r="AO449" s="136"/>
    </row>
    <row r="450" spans="1:41" ht="15.75" customHeight="1">
      <c r="A450" s="102" t="s">
        <v>183</v>
      </c>
      <c r="B450" s="597">
        <f>('Pivot Table for Data Exchange'!$Q$295)*100</f>
        <v>0</v>
      </c>
      <c r="C450" s="597">
        <f>('Pivot Table for Data Exchange'!$Q$298)*100</f>
        <v>0</v>
      </c>
      <c r="D450" s="603">
        <f>SUM(E450:G450)</f>
        <v>0</v>
      </c>
      <c r="E450" s="597">
        <f>('Pivot Table for Data Exchange'!$Q$301)*100</f>
        <v>0</v>
      </c>
      <c r="F450" s="597">
        <f>('Pivot Table for Data Exchange'!$Q$304)*100</f>
        <v>0</v>
      </c>
      <c r="G450" s="599">
        <f>('Pivot Table for Data Exchange'!$Q$307)*100</f>
        <v>0</v>
      </c>
      <c r="H450" s="597">
        <f>('Pivot Table for Data Exchange'!$Q$310)*100</f>
        <v>0</v>
      </c>
      <c r="I450" s="102"/>
      <c r="J450" s="119"/>
      <c r="K450" s="119"/>
      <c r="L450" s="119"/>
      <c r="M450" s="119"/>
      <c r="N450" s="119"/>
      <c r="O450" s="119"/>
      <c r="P450" s="119"/>
      <c r="Q450" s="602">
        <f t="shared" si="50"/>
        <v>0</v>
      </c>
      <c r="R450" s="135"/>
      <c r="S450" s="136"/>
      <c r="T450" s="136"/>
      <c r="U450" s="136"/>
      <c r="V450" s="136"/>
      <c r="W450" s="136"/>
      <c r="X450" s="136"/>
      <c r="Y450" s="136"/>
      <c r="Z450" s="136"/>
      <c r="AA450" s="136"/>
      <c r="AB450" s="136"/>
      <c r="AC450" s="136"/>
      <c r="AD450" s="136"/>
      <c r="AE450" s="136"/>
      <c r="AF450" s="136"/>
      <c r="AG450" s="136"/>
      <c r="AH450" s="136"/>
      <c r="AI450" s="136"/>
      <c r="AJ450" s="136"/>
      <c r="AK450" s="136"/>
      <c r="AL450" s="136"/>
      <c r="AM450" s="136"/>
      <c r="AN450" s="136"/>
      <c r="AO450" s="136"/>
    </row>
    <row r="451" spans="1:41" ht="15.75" customHeight="1">
      <c r="A451" s="102" t="s">
        <v>184</v>
      </c>
      <c r="B451" s="597">
        <f>('Pivot Table for Data Exchange'!$Q$331)*100</f>
        <v>0</v>
      </c>
      <c r="C451" s="597">
        <f>('Pivot Table for Data Exchange'!$Q$334)*100</f>
        <v>0</v>
      </c>
      <c r="D451" s="603">
        <f>SUM(E451:G451)</f>
        <v>0</v>
      </c>
      <c r="E451" s="597">
        <f>('Pivot Table for Data Exchange'!$Q$337)*100</f>
        <v>0</v>
      </c>
      <c r="F451" s="597">
        <f>('Pivot Table for Data Exchange'!$Q$340)*100</f>
        <v>0</v>
      </c>
      <c r="G451" s="599">
        <f>('Pivot Table for Data Exchange'!$Q$343)*100</f>
        <v>0</v>
      </c>
      <c r="H451" s="597">
        <f>('Pivot Table for Data Exchange'!$Q$346)*100</f>
        <v>0</v>
      </c>
      <c r="I451" s="102"/>
      <c r="J451" s="119"/>
      <c r="K451" s="119"/>
      <c r="L451" s="119"/>
      <c r="M451" s="119"/>
      <c r="N451" s="119"/>
      <c r="O451" s="119"/>
      <c r="P451" s="119"/>
      <c r="Q451" s="602">
        <f t="shared" si="50"/>
        <v>0</v>
      </c>
      <c r="R451" s="135"/>
      <c r="S451" s="136"/>
      <c r="T451" s="136"/>
      <c r="U451" s="136"/>
      <c r="V451" s="136"/>
      <c r="W451" s="136"/>
      <c r="X451" s="136"/>
      <c r="Y451" s="136"/>
      <c r="Z451" s="136"/>
      <c r="AA451" s="136"/>
      <c r="AB451" s="136"/>
      <c r="AC451" s="136"/>
      <c r="AD451" s="136"/>
      <c r="AE451" s="136"/>
      <c r="AF451" s="136"/>
      <c r="AG451" s="136"/>
      <c r="AH451" s="136"/>
      <c r="AI451" s="136"/>
      <c r="AJ451" s="136"/>
      <c r="AK451" s="136"/>
      <c r="AL451" s="136"/>
      <c r="AM451" s="136"/>
      <c r="AN451" s="136"/>
      <c r="AO451" s="136"/>
    </row>
    <row r="452" spans="1:41" ht="15.75" customHeight="1">
      <c r="A452" s="102" t="s">
        <v>185</v>
      </c>
      <c r="B452" s="597">
        <f>('Pivot Table for Data Exchange'!$Q$367)*100</f>
        <v>0</v>
      </c>
      <c r="C452" s="597">
        <f>('Pivot Table for Data Exchange'!$Q$370)*100</f>
        <v>0</v>
      </c>
      <c r="D452" s="603">
        <f>SUM(E452:G452)</f>
        <v>0</v>
      </c>
      <c r="E452" s="597">
        <f>('Pivot Table for Data Exchange'!$Q$373)*100</f>
        <v>0</v>
      </c>
      <c r="F452" s="597">
        <f>('Pivot Table for Data Exchange'!$Q$376)*100</f>
        <v>0</v>
      </c>
      <c r="G452" s="599">
        <f>('Pivot Table for Data Exchange'!$Q$379)*100</f>
        <v>0</v>
      </c>
      <c r="H452" s="597">
        <f>('Pivot Table for Data Exchange'!$Q$382)*100</f>
        <v>0</v>
      </c>
      <c r="I452" s="102"/>
      <c r="J452" s="119"/>
      <c r="K452" s="119"/>
      <c r="L452" s="119"/>
      <c r="M452" s="119"/>
      <c r="N452" s="119"/>
      <c r="O452" s="119"/>
      <c r="P452" s="119"/>
      <c r="Q452" s="602">
        <f t="shared" si="50"/>
        <v>0</v>
      </c>
      <c r="R452" s="135"/>
      <c r="S452" s="136"/>
      <c r="T452" s="142"/>
      <c r="U452" s="136"/>
      <c r="V452" s="136"/>
      <c r="W452" s="136"/>
      <c r="X452" s="136"/>
      <c r="Y452" s="136"/>
      <c r="Z452" s="136"/>
      <c r="AA452" s="136"/>
      <c r="AB452" s="136"/>
      <c r="AC452" s="136"/>
      <c r="AD452" s="136"/>
      <c r="AE452" s="136"/>
      <c r="AF452" s="136"/>
      <c r="AG452" s="136"/>
      <c r="AH452" s="136"/>
      <c r="AI452" s="136"/>
      <c r="AJ452" s="136"/>
      <c r="AK452" s="136"/>
      <c r="AL452" s="136"/>
      <c r="AM452" s="136"/>
      <c r="AN452" s="136"/>
      <c r="AO452" s="136"/>
    </row>
    <row r="453" spans="1:41" ht="15.75" customHeight="1">
      <c r="A453" s="102" t="s">
        <v>186</v>
      </c>
      <c r="B453" s="597">
        <f>('Pivot Table for Data Exchange'!$Q$403)*100</f>
        <v>0</v>
      </c>
      <c r="C453" s="597">
        <f>('Pivot Table for Data Exchange'!$Q$406)*100</f>
        <v>0</v>
      </c>
      <c r="D453" s="603">
        <f>SUM(E453:G453)</f>
        <v>0</v>
      </c>
      <c r="E453" s="597">
        <f>('Pivot Table for Data Exchange'!$Q$409)*100</f>
        <v>0</v>
      </c>
      <c r="F453" s="597">
        <f>('Pivot Table for Data Exchange'!$Q$412)*100</f>
        <v>0</v>
      </c>
      <c r="G453" s="599">
        <f>('Pivot Table for Data Exchange'!$Q$415)*100</f>
        <v>0</v>
      </c>
      <c r="H453" s="597">
        <f>('Pivot Table for Data Exchange'!$Q$418)*100</f>
        <v>0</v>
      </c>
      <c r="I453" s="102"/>
      <c r="J453" s="119"/>
      <c r="K453" s="119"/>
      <c r="L453" s="119"/>
      <c r="M453" s="119"/>
      <c r="N453" s="119"/>
      <c r="O453" s="119"/>
      <c r="P453" s="119"/>
      <c r="Q453" s="602">
        <f t="shared" si="50"/>
        <v>0</v>
      </c>
      <c r="R453" s="135"/>
      <c r="S453" s="136"/>
      <c r="T453" s="136"/>
      <c r="U453" s="136"/>
      <c r="V453" s="136"/>
      <c r="W453" s="136"/>
      <c r="X453" s="136"/>
      <c r="Y453" s="136"/>
      <c r="Z453" s="136"/>
      <c r="AA453" s="136"/>
      <c r="AB453" s="136"/>
      <c r="AC453" s="136"/>
      <c r="AD453" s="136"/>
      <c r="AE453" s="136"/>
      <c r="AF453" s="136"/>
      <c r="AG453" s="136"/>
      <c r="AH453" s="136"/>
      <c r="AI453" s="136"/>
      <c r="AJ453" s="136"/>
      <c r="AK453" s="136"/>
      <c r="AL453" s="136"/>
      <c r="AM453" s="136"/>
      <c r="AN453" s="136"/>
      <c r="AO453" s="136"/>
    </row>
    <row r="454" spans="1:41" ht="15.75" customHeight="1">
      <c r="A454" s="102"/>
      <c r="B454" s="597"/>
      <c r="C454" s="597"/>
      <c r="D454" s="603"/>
      <c r="E454" s="597"/>
      <c r="F454" s="597"/>
      <c r="G454" s="599"/>
      <c r="H454" s="597"/>
      <c r="I454" s="102"/>
      <c r="J454" s="119"/>
      <c r="K454" s="119"/>
      <c r="L454" s="119"/>
      <c r="M454" s="119"/>
      <c r="N454" s="119"/>
      <c r="O454" s="119"/>
      <c r="P454" s="119"/>
      <c r="Q454" s="602">
        <f t="shared" si="50"/>
        <v>0</v>
      </c>
      <c r="R454" s="135"/>
      <c r="S454" s="136"/>
      <c r="T454" s="136"/>
      <c r="U454" s="136"/>
      <c r="V454" s="136"/>
      <c r="W454" s="136"/>
      <c r="X454" s="136"/>
      <c r="Y454" s="136"/>
      <c r="Z454" s="136"/>
      <c r="AA454" s="136"/>
      <c r="AB454" s="136"/>
      <c r="AC454" s="136"/>
      <c r="AD454" s="136"/>
      <c r="AE454" s="136"/>
      <c r="AF454" s="136"/>
      <c r="AG454" s="136"/>
      <c r="AH454" s="136"/>
      <c r="AI454" s="136"/>
      <c r="AJ454" s="136"/>
      <c r="AK454" s="136"/>
      <c r="AL454" s="136"/>
      <c r="AM454" s="136"/>
      <c r="AN454" s="136"/>
      <c r="AO454" s="136"/>
    </row>
    <row r="455" spans="1:41" ht="15.75" customHeight="1">
      <c r="A455" s="102" t="s">
        <v>187</v>
      </c>
      <c r="B455" s="597">
        <f>('Pivot Table for Data Exchange'!$Q$439)*100</f>
        <v>0</v>
      </c>
      <c r="C455" s="597">
        <f>('Pivot Table for Data Exchange'!$Q$442)*100</f>
        <v>0</v>
      </c>
      <c r="D455" s="603">
        <f>SUM(E455:G455)</f>
        <v>0</v>
      </c>
      <c r="E455" s="597">
        <f>('Pivot Table for Data Exchange'!$Q$445)*100</f>
        <v>0</v>
      </c>
      <c r="F455" s="597">
        <f>('Pivot Table for Data Exchange'!$Q$448)*100</f>
        <v>0</v>
      </c>
      <c r="G455" s="599">
        <f>('Pivot Table for Data Exchange'!$Q$451)*100</f>
        <v>0</v>
      </c>
      <c r="H455" s="597">
        <f>('Pivot Table for Data Exchange'!$Q$454)*100</f>
        <v>0</v>
      </c>
      <c r="I455" s="102"/>
      <c r="J455" s="119"/>
      <c r="K455" s="119"/>
      <c r="L455" s="119"/>
      <c r="M455" s="119"/>
      <c r="N455" s="119"/>
      <c r="O455" s="119"/>
      <c r="P455" s="119"/>
      <c r="Q455" s="602">
        <f t="shared" si="50"/>
        <v>0</v>
      </c>
      <c r="R455" s="135"/>
      <c r="S455" s="136"/>
      <c r="T455" s="136"/>
      <c r="U455" s="136"/>
      <c r="V455" s="136"/>
      <c r="W455" s="136"/>
      <c r="X455" s="136"/>
      <c r="Y455" s="136"/>
      <c r="Z455" s="136"/>
      <c r="AA455" s="136"/>
      <c r="AB455" s="136"/>
      <c r="AC455" s="136"/>
      <c r="AD455" s="136"/>
      <c r="AE455" s="136"/>
      <c r="AF455" s="136"/>
      <c r="AG455" s="136"/>
      <c r="AH455" s="136"/>
      <c r="AI455" s="136"/>
      <c r="AJ455" s="136"/>
      <c r="AK455" s="136"/>
      <c r="AL455" s="136"/>
      <c r="AM455" s="136"/>
      <c r="AN455" s="136"/>
      <c r="AO455" s="136"/>
    </row>
    <row r="456" spans="1:41" ht="15.75" customHeight="1">
      <c r="A456" s="102" t="s">
        <v>188</v>
      </c>
      <c r="B456" s="597">
        <f>('Pivot Table for Data Exchange'!$Q$475)*100</f>
        <v>0</v>
      </c>
      <c r="C456" s="597">
        <f>('Pivot Table for Data Exchange'!$Q$478)*100</f>
        <v>0</v>
      </c>
      <c r="D456" s="603">
        <f>SUM(E456:G456)</f>
        <v>0</v>
      </c>
      <c r="E456" s="597">
        <f>('Pivot Table for Data Exchange'!$Q$481)*100</f>
        <v>0</v>
      </c>
      <c r="F456" s="597">
        <f>('Pivot Table for Data Exchange'!$Q$484)*100</f>
        <v>0</v>
      </c>
      <c r="G456" s="599">
        <f>('Pivot Table for Data Exchange'!$Q$487)*100</f>
        <v>0</v>
      </c>
      <c r="H456" s="597">
        <f>('Pivot Table for Data Exchange'!$Q$490)*100</f>
        <v>0</v>
      </c>
      <c r="I456" s="102"/>
      <c r="J456" s="119"/>
      <c r="K456" s="119"/>
      <c r="L456" s="119"/>
      <c r="M456" s="119"/>
      <c r="N456" s="119"/>
      <c r="O456" s="119"/>
      <c r="P456" s="119"/>
      <c r="Q456" s="602">
        <f t="shared" si="50"/>
        <v>0</v>
      </c>
      <c r="R456" s="135"/>
      <c r="S456" s="136"/>
      <c r="T456" s="136"/>
      <c r="U456" s="136"/>
      <c r="V456" s="136"/>
      <c r="W456" s="136"/>
      <c r="X456" s="136"/>
      <c r="Y456" s="136"/>
      <c r="Z456" s="136"/>
      <c r="AA456" s="136"/>
      <c r="AB456" s="136"/>
      <c r="AC456" s="136"/>
      <c r="AD456" s="136"/>
      <c r="AE456" s="136"/>
      <c r="AF456" s="136"/>
      <c r="AG456" s="136"/>
      <c r="AH456" s="136"/>
      <c r="AI456" s="136"/>
      <c r="AJ456" s="136"/>
      <c r="AK456" s="136"/>
      <c r="AL456" s="136"/>
      <c r="AM456" s="136"/>
      <c r="AN456" s="136"/>
      <c r="AO456" s="136"/>
    </row>
    <row r="457" spans="1:41" ht="15.75" customHeight="1">
      <c r="A457" s="102" t="s">
        <v>189</v>
      </c>
      <c r="B457" s="597">
        <f>('Pivot Table for Data Exchange'!$Q$511)*100</f>
        <v>0</v>
      </c>
      <c r="C457" s="597">
        <f>('Pivot Table for Data Exchange'!$Q$514)*100</f>
        <v>0</v>
      </c>
      <c r="D457" s="603">
        <f>SUM(E457:G457)</f>
        <v>0</v>
      </c>
      <c r="E457" s="597">
        <f>('Pivot Table for Data Exchange'!$Q$517)*100</f>
        <v>0</v>
      </c>
      <c r="F457" s="597">
        <f>('Pivot Table for Data Exchange'!$Q$520)*100</f>
        <v>0</v>
      </c>
      <c r="G457" s="599">
        <f>('Pivot Table for Data Exchange'!$Q$523)*100</f>
        <v>0</v>
      </c>
      <c r="H457" s="597">
        <f>('Pivot Table for Data Exchange'!$Q$526)*100</f>
        <v>0</v>
      </c>
      <c r="I457" s="102"/>
      <c r="J457" s="119"/>
      <c r="K457" s="119"/>
      <c r="L457" s="119"/>
      <c r="M457" s="119"/>
      <c r="N457" s="119"/>
      <c r="O457" s="119"/>
      <c r="P457" s="119"/>
      <c r="Q457" s="602">
        <f t="shared" si="50"/>
        <v>0</v>
      </c>
      <c r="R457" s="135"/>
      <c r="S457" s="136"/>
      <c r="T457" s="136"/>
      <c r="U457" s="136"/>
      <c r="V457" s="136"/>
      <c r="W457" s="136"/>
      <c r="X457" s="136"/>
      <c r="Y457" s="136"/>
      <c r="Z457" s="136"/>
      <c r="AA457" s="136"/>
      <c r="AB457" s="136"/>
      <c r="AC457" s="136"/>
      <c r="AD457" s="136"/>
      <c r="AE457" s="136"/>
      <c r="AF457" s="136"/>
      <c r="AG457" s="136"/>
      <c r="AH457" s="136"/>
      <c r="AI457" s="136"/>
      <c r="AJ457" s="136"/>
      <c r="AK457" s="136"/>
      <c r="AL457" s="136"/>
      <c r="AM457" s="136"/>
      <c r="AN457" s="136"/>
      <c r="AO457" s="136"/>
    </row>
    <row r="458" spans="1:41" ht="15.75" customHeight="1">
      <c r="A458" s="76" t="s">
        <v>190</v>
      </c>
      <c r="B458" s="600">
        <f>('Pivot Table for Data Exchange'!$Q$547)*100</f>
        <v>0</v>
      </c>
      <c r="C458" s="600">
        <f>('Pivot Table for Data Exchange'!$Q$550)*100</f>
        <v>0</v>
      </c>
      <c r="D458" s="604">
        <f>SUM(E458:G458)</f>
        <v>0</v>
      </c>
      <c r="E458" s="600">
        <f>('Pivot Table for Data Exchange'!$Q$553)*100</f>
        <v>0</v>
      </c>
      <c r="F458" s="600">
        <f>('Pivot Table for Data Exchange'!$Q$556)*100</f>
        <v>0</v>
      </c>
      <c r="G458" s="601">
        <f>('Pivot Table for Data Exchange'!$Q$559)*100</f>
        <v>0</v>
      </c>
      <c r="H458" s="600">
        <f>('Pivot Table for Data Exchange'!$Q$562)*100</f>
        <v>0</v>
      </c>
      <c r="I458" s="102"/>
      <c r="J458" s="119"/>
      <c r="K458" s="119"/>
      <c r="L458" s="119"/>
      <c r="M458" s="119"/>
      <c r="N458" s="119"/>
      <c r="O458" s="119"/>
      <c r="P458" s="119"/>
      <c r="Q458" s="602">
        <f t="shared" si="50"/>
        <v>0</v>
      </c>
      <c r="R458" s="135"/>
      <c r="S458" s="136"/>
      <c r="T458" s="136"/>
      <c r="U458" s="136"/>
      <c r="V458" s="136"/>
      <c r="W458" s="136"/>
      <c r="X458" s="136"/>
      <c r="Y458" s="136"/>
      <c r="Z458" s="136"/>
      <c r="AA458" s="136"/>
      <c r="AB458" s="136"/>
      <c r="AC458" s="136"/>
      <c r="AD458" s="136"/>
      <c r="AE458" s="136"/>
      <c r="AF458" s="136"/>
      <c r="AG458" s="136"/>
      <c r="AH458" s="136"/>
      <c r="AI458" s="136"/>
      <c r="AJ458" s="136"/>
      <c r="AK458" s="136"/>
      <c r="AL458" s="136"/>
      <c r="AM458" s="136"/>
      <c r="AN458" s="136"/>
      <c r="AO458" s="136"/>
    </row>
    <row r="459" spans="1:41" s="141" customFormat="1" ht="18" customHeight="1">
      <c r="A459" s="43" t="s">
        <v>219</v>
      </c>
      <c r="B459" s="106"/>
      <c r="C459" s="106"/>
      <c r="D459" s="107"/>
      <c r="E459" s="106"/>
      <c r="F459" s="107"/>
      <c r="G459" s="107"/>
      <c r="H459" s="106"/>
      <c r="I459" s="43"/>
      <c r="J459" s="106"/>
      <c r="K459" s="106"/>
      <c r="L459" s="107"/>
      <c r="M459" s="106"/>
      <c r="N459" s="107"/>
      <c r="O459" s="107"/>
      <c r="P459" s="106"/>
      <c r="Q459" s="139"/>
      <c r="R459" s="139"/>
      <c r="S459" s="140"/>
      <c r="T459" s="140"/>
      <c r="U459" s="140"/>
      <c r="V459" s="140"/>
      <c r="W459" s="140"/>
      <c r="X459" s="140"/>
      <c r="Y459" s="140"/>
      <c r="Z459" s="140"/>
      <c r="AA459" s="140"/>
      <c r="AB459" s="140"/>
      <c r="AC459" s="140"/>
      <c r="AD459" s="140"/>
      <c r="AE459" s="140"/>
      <c r="AF459" s="140"/>
      <c r="AG459" s="140"/>
      <c r="AH459" s="140"/>
      <c r="AI459" s="140"/>
      <c r="AJ459" s="140"/>
      <c r="AK459" s="140"/>
      <c r="AL459" s="140"/>
      <c r="AM459" s="140"/>
      <c r="AN459" s="140"/>
      <c r="AO459" s="140"/>
    </row>
    <row r="460" spans="1:41" s="141" customFormat="1" ht="18" customHeight="1">
      <c r="A460" s="43"/>
      <c r="B460" s="106"/>
      <c r="C460" s="106"/>
      <c r="D460" s="107"/>
      <c r="E460" s="106"/>
      <c r="F460" s="107"/>
      <c r="G460" s="107"/>
      <c r="H460" s="106"/>
      <c r="I460" s="43"/>
      <c r="J460" s="106"/>
      <c r="K460" s="106"/>
      <c r="L460" s="107"/>
      <c r="M460" s="106"/>
      <c r="N460" s="107"/>
      <c r="O460" s="107"/>
      <c r="P460" s="106"/>
      <c r="Q460" s="139"/>
      <c r="R460" s="139"/>
      <c r="S460" s="140"/>
      <c r="T460" s="140"/>
      <c r="U460" s="140"/>
      <c r="V460" s="140"/>
      <c r="W460" s="140"/>
      <c r="X460" s="140"/>
      <c r="Y460" s="140"/>
      <c r="Z460" s="140"/>
      <c r="AA460" s="140"/>
      <c r="AB460" s="140"/>
      <c r="AC460" s="140"/>
      <c r="AD460" s="140"/>
      <c r="AE460" s="140"/>
      <c r="AF460" s="140"/>
      <c r="AG460" s="140"/>
      <c r="AH460" s="140"/>
      <c r="AI460" s="140"/>
      <c r="AJ460" s="140"/>
      <c r="AK460" s="140"/>
      <c r="AL460" s="140"/>
      <c r="AM460" s="140"/>
      <c r="AN460" s="140"/>
      <c r="AO460" s="140"/>
    </row>
    <row r="461" spans="1:41" s="141" customFormat="1" ht="13.5" customHeight="1">
      <c r="A461" s="43"/>
      <c r="B461" s="114"/>
      <c r="C461" s="45"/>
      <c r="D461" s="45"/>
      <c r="E461" s="45"/>
      <c r="F461" s="45"/>
      <c r="G461" s="45"/>
      <c r="H461" s="49" t="s">
        <v>900</v>
      </c>
      <c r="I461" s="43"/>
      <c r="J461" s="45"/>
      <c r="K461" s="45"/>
      <c r="L461" s="45"/>
      <c r="M461" s="45"/>
      <c r="N461" s="45"/>
      <c r="O461" s="45"/>
      <c r="P461" s="115"/>
      <c r="Q461" s="146"/>
      <c r="R461" s="144"/>
    </row>
    <row r="462" spans="1:41" s="141" customFormat="1" ht="13.5" customHeight="1">
      <c r="A462" s="113"/>
      <c r="B462" s="45"/>
      <c r="C462" s="45"/>
      <c r="D462" s="45"/>
      <c r="E462" s="45"/>
      <c r="F462" s="45"/>
      <c r="G462" s="45"/>
      <c r="H462" s="47"/>
      <c r="I462" s="113"/>
      <c r="J462" s="45"/>
      <c r="K462" s="45"/>
      <c r="L462" s="45"/>
      <c r="M462" s="45"/>
      <c r="N462" s="45"/>
      <c r="O462" s="45"/>
      <c r="P462" s="45"/>
      <c r="Q462" s="146"/>
      <c r="R462" s="144"/>
    </row>
    <row r="463" spans="1:41" s="141" customFormat="1" ht="13.5" customHeight="1">
      <c r="A463" s="113"/>
      <c r="B463" s="45"/>
      <c r="C463" s="45"/>
      <c r="D463" s="45"/>
      <c r="E463" s="45"/>
      <c r="F463" s="45"/>
      <c r="G463" s="45"/>
      <c r="H463" s="47"/>
      <c r="I463" s="113"/>
      <c r="J463" s="45"/>
      <c r="K463" s="45"/>
      <c r="L463" s="45"/>
      <c r="M463" s="45"/>
      <c r="N463" s="45"/>
      <c r="O463" s="45"/>
      <c r="P463" s="45"/>
      <c r="Q463" s="146"/>
      <c r="R463" s="144"/>
    </row>
    <row r="464" spans="1:41">
      <c r="I464" s="118"/>
      <c r="J464" s="102"/>
      <c r="K464" s="102"/>
      <c r="L464" s="102"/>
      <c r="M464" s="102"/>
      <c r="N464" s="102"/>
      <c r="O464" s="102"/>
      <c r="P464" s="102"/>
    </row>
    <row r="465" spans="9:16">
      <c r="I465" s="118"/>
      <c r="J465" s="102"/>
      <c r="K465" s="102"/>
      <c r="L465" s="102"/>
      <c r="M465" s="102"/>
      <c r="N465" s="102"/>
      <c r="O465" s="102"/>
      <c r="P465" s="102"/>
    </row>
    <row r="466" spans="9:16">
      <c r="I466" s="118"/>
      <c r="J466" s="102"/>
      <c r="K466" s="102"/>
      <c r="L466" s="102"/>
      <c r="M466" s="102"/>
      <c r="N466" s="102"/>
      <c r="O466" s="102"/>
      <c r="P466" s="102"/>
    </row>
    <row r="467" spans="9:16">
      <c r="I467" s="118"/>
      <c r="J467" s="102"/>
      <c r="K467" s="102"/>
      <c r="L467" s="102"/>
      <c r="M467" s="102"/>
      <c r="N467" s="102"/>
      <c r="O467" s="102"/>
      <c r="P467" s="102"/>
    </row>
    <row r="468" spans="9:16">
      <c r="I468" s="118"/>
      <c r="J468" s="102"/>
      <c r="K468" s="102"/>
      <c r="L468" s="102"/>
      <c r="M468" s="102"/>
      <c r="N468" s="102"/>
      <c r="O468" s="102"/>
      <c r="P468" s="102"/>
    </row>
    <row r="469" spans="9:16">
      <c r="I469" s="118"/>
      <c r="J469" s="102"/>
      <c r="K469" s="102"/>
      <c r="L469" s="102"/>
      <c r="M469" s="102"/>
      <c r="N469" s="102"/>
      <c r="O469" s="102"/>
      <c r="P469" s="102"/>
    </row>
    <row r="470" spans="9:16">
      <c r="I470" s="118"/>
      <c r="J470" s="102"/>
      <c r="K470" s="102"/>
      <c r="L470" s="102"/>
      <c r="M470" s="102"/>
      <c r="N470" s="102"/>
      <c r="O470" s="102"/>
      <c r="P470" s="102"/>
    </row>
    <row r="471" spans="9:16">
      <c r="I471" s="118"/>
      <c r="J471" s="102"/>
      <c r="K471" s="102"/>
      <c r="L471" s="102"/>
      <c r="M471" s="102"/>
      <c r="N471" s="102"/>
      <c r="O471" s="102"/>
      <c r="P471" s="102"/>
    </row>
    <row r="472" spans="9:16">
      <c r="I472" s="118"/>
      <c r="J472" s="102"/>
      <c r="K472" s="102"/>
      <c r="L472" s="102"/>
      <c r="M472" s="102"/>
      <c r="N472" s="102"/>
      <c r="O472" s="102"/>
      <c r="P472" s="102"/>
    </row>
    <row r="473" spans="9:16">
      <c r="I473" s="118"/>
      <c r="J473" s="102"/>
      <c r="K473" s="102"/>
      <c r="L473" s="102"/>
      <c r="M473" s="102"/>
      <c r="N473" s="102"/>
      <c r="O473" s="102"/>
      <c r="P473" s="102"/>
    </row>
    <row r="474" spans="9:16">
      <c r="I474" s="118"/>
      <c r="J474" s="102"/>
      <c r="K474" s="102"/>
      <c r="L474" s="102"/>
      <c r="M474" s="102"/>
      <c r="N474" s="102"/>
      <c r="O474" s="102"/>
      <c r="P474" s="102"/>
    </row>
    <row r="475" spans="9:16">
      <c r="I475" s="118"/>
      <c r="J475" s="102"/>
      <c r="K475" s="102"/>
      <c r="L475" s="102"/>
      <c r="M475" s="102"/>
      <c r="N475" s="102"/>
      <c r="O475" s="102"/>
      <c r="P475" s="102"/>
    </row>
    <row r="476" spans="9:16">
      <c r="I476" s="118"/>
      <c r="J476" s="102"/>
      <c r="K476" s="102"/>
      <c r="L476" s="102"/>
      <c r="M476" s="102"/>
      <c r="N476" s="102"/>
      <c r="O476" s="102"/>
      <c r="P476" s="102"/>
    </row>
    <row r="477" spans="9:16">
      <c r="I477" s="118"/>
      <c r="J477" s="102"/>
      <c r="K477" s="102"/>
      <c r="L477" s="102"/>
      <c r="M477" s="102"/>
      <c r="N477" s="102"/>
      <c r="O477" s="102"/>
      <c r="P477" s="102"/>
    </row>
    <row r="478" spans="9:16">
      <c r="I478" s="118"/>
      <c r="J478" s="102"/>
      <c r="K478" s="102"/>
      <c r="L478" s="102"/>
      <c r="M478" s="102"/>
      <c r="N478" s="102"/>
      <c r="O478" s="102"/>
      <c r="P478" s="102"/>
    </row>
    <row r="479" spans="9:16">
      <c r="I479" s="118"/>
      <c r="J479" s="102"/>
      <c r="K479" s="102"/>
      <c r="L479" s="102"/>
      <c r="M479" s="102"/>
      <c r="N479" s="102"/>
      <c r="O479" s="102"/>
      <c r="P479" s="102"/>
    </row>
    <row r="480" spans="9:16">
      <c r="I480" s="118"/>
      <c r="J480" s="102"/>
      <c r="K480" s="102"/>
      <c r="L480" s="102"/>
      <c r="M480" s="102"/>
      <c r="N480" s="102"/>
      <c r="O480" s="102"/>
      <c r="P480" s="102"/>
    </row>
    <row r="481" spans="9:16">
      <c r="I481" s="118"/>
      <c r="J481" s="102"/>
      <c r="K481" s="102"/>
      <c r="L481" s="102"/>
      <c r="M481" s="102"/>
      <c r="N481" s="102"/>
      <c r="O481" s="102"/>
      <c r="P481" s="102"/>
    </row>
    <row r="482" spans="9:16">
      <c r="I482" s="118"/>
      <c r="J482" s="102"/>
      <c r="K482" s="102"/>
      <c r="L482" s="102"/>
      <c r="M482" s="102"/>
      <c r="N482" s="102"/>
      <c r="O482" s="102"/>
      <c r="P482" s="102"/>
    </row>
    <row r="483" spans="9:16">
      <c r="I483" s="118"/>
      <c r="J483" s="102"/>
      <c r="K483" s="102"/>
      <c r="L483" s="102"/>
      <c r="M483" s="102"/>
      <c r="N483" s="102"/>
      <c r="O483" s="102"/>
      <c r="P483" s="102"/>
    </row>
    <row r="484" spans="9:16">
      <c r="I484" s="118"/>
      <c r="J484" s="102"/>
      <c r="K484" s="102"/>
      <c r="L484" s="102"/>
      <c r="M484" s="102"/>
      <c r="N484" s="102"/>
      <c r="O484" s="102"/>
      <c r="P484" s="102"/>
    </row>
    <row r="485" spans="9:16">
      <c r="I485" s="118"/>
      <c r="J485" s="102"/>
      <c r="K485" s="102"/>
      <c r="L485" s="102"/>
      <c r="M485" s="102"/>
      <c r="N485" s="102"/>
      <c r="O485" s="102"/>
      <c r="P485" s="102"/>
    </row>
    <row r="486" spans="9:16">
      <c r="I486" s="118"/>
      <c r="J486" s="102"/>
      <c r="K486" s="102"/>
      <c r="L486" s="102"/>
      <c r="M486" s="102"/>
      <c r="N486" s="102"/>
      <c r="O486" s="102"/>
      <c r="P486" s="102"/>
    </row>
    <row r="487" spans="9:16">
      <c r="I487" s="118"/>
      <c r="J487" s="102"/>
      <c r="K487" s="102"/>
      <c r="L487" s="102"/>
      <c r="M487" s="102"/>
      <c r="N487" s="102"/>
      <c r="O487" s="102"/>
      <c r="P487" s="102"/>
    </row>
    <row r="488" spans="9:16">
      <c r="I488" s="118"/>
      <c r="J488" s="102"/>
      <c r="K488" s="102"/>
      <c r="L488" s="102"/>
      <c r="M488" s="102"/>
      <c r="N488" s="102"/>
      <c r="O488" s="102"/>
      <c r="P488" s="102"/>
    </row>
    <row r="489" spans="9:16">
      <c r="I489" s="118"/>
      <c r="J489" s="102"/>
      <c r="K489" s="102"/>
      <c r="L489" s="102"/>
      <c r="M489" s="102"/>
      <c r="N489" s="102"/>
      <c r="O489" s="102"/>
      <c r="P489" s="102"/>
    </row>
    <row r="490" spans="9:16">
      <c r="I490" s="118"/>
      <c r="J490" s="102"/>
      <c r="K490" s="102"/>
      <c r="L490" s="102"/>
      <c r="M490" s="102"/>
      <c r="N490" s="102"/>
      <c r="O490" s="102"/>
      <c r="P490" s="102"/>
    </row>
    <row r="491" spans="9:16">
      <c r="I491" s="118"/>
      <c r="J491" s="102"/>
      <c r="K491" s="102"/>
      <c r="L491" s="102"/>
      <c r="M491" s="102"/>
      <c r="N491" s="102"/>
      <c r="O491" s="102"/>
      <c r="P491" s="102"/>
    </row>
    <row r="492" spans="9:16">
      <c r="I492" s="118"/>
      <c r="J492" s="102"/>
      <c r="K492" s="102"/>
      <c r="L492" s="102"/>
      <c r="M492" s="102"/>
      <c r="N492" s="102"/>
      <c r="O492" s="102"/>
      <c r="P492" s="102"/>
    </row>
    <row r="493" spans="9:16">
      <c r="I493" s="118"/>
      <c r="J493" s="102"/>
      <c r="K493" s="102"/>
      <c r="L493" s="102"/>
      <c r="M493" s="102"/>
      <c r="N493" s="102"/>
      <c r="O493" s="102"/>
      <c r="P493" s="102"/>
    </row>
    <row r="494" spans="9:16">
      <c r="I494" s="118"/>
      <c r="J494" s="102"/>
      <c r="K494" s="102"/>
      <c r="L494" s="102"/>
      <c r="M494" s="102"/>
      <c r="N494" s="102"/>
      <c r="O494" s="102"/>
      <c r="P494" s="102"/>
    </row>
    <row r="495" spans="9:16">
      <c r="I495" s="118"/>
      <c r="J495" s="102"/>
      <c r="K495" s="102"/>
      <c r="L495" s="102"/>
      <c r="M495" s="102"/>
      <c r="N495" s="102"/>
      <c r="O495" s="102"/>
      <c r="P495" s="102"/>
    </row>
    <row r="496" spans="9:16">
      <c r="I496" s="118"/>
      <c r="J496" s="102"/>
      <c r="K496" s="102"/>
      <c r="L496" s="102"/>
      <c r="M496" s="102"/>
      <c r="N496" s="102"/>
      <c r="O496" s="102"/>
      <c r="P496" s="102"/>
    </row>
    <row r="497" spans="9:16">
      <c r="I497" s="118"/>
      <c r="J497" s="102"/>
      <c r="K497" s="102"/>
      <c r="L497" s="102"/>
      <c r="M497" s="102"/>
      <c r="N497" s="102"/>
      <c r="O497" s="102"/>
      <c r="P497" s="102"/>
    </row>
    <row r="498" spans="9:16">
      <c r="I498" s="118"/>
      <c r="J498" s="102"/>
      <c r="K498" s="102"/>
      <c r="L498" s="102"/>
      <c r="M498" s="102"/>
      <c r="N498" s="102"/>
      <c r="O498" s="102"/>
      <c r="P498" s="102"/>
    </row>
    <row r="499" spans="9:16">
      <c r="I499" s="118"/>
      <c r="J499" s="102"/>
      <c r="K499" s="102"/>
      <c r="L499" s="102"/>
      <c r="M499" s="102"/>
      <c r="N499" s="102"/>
      <c r="O499" s="102"/>
      <c r="P499" s="102"/>
    </row>
    <row r="500" spans="9:16">
      <c r="I500" s="118"/>
      <c r="J500" s="102"/>
      <c r="K500" s="102"/>
      <c r="L500" s="102"/>
      <c r="M500" s="102"/>
      <c r="N500" s="102"/>
      <c r="O500" s="102"/>
      <c r="P500" s="102"/>
    </row>
    <row r="501" spans="9:16">
      <c r="I501" s="118"/>
      <c r="J501" s="102"/>
      <c r="K501" s="102"/>
      <c r="L501" s="102"/>
      <c r="M501" s="102"/>
      <c r="N501" s="102"/>
      <c r="O501" s="102"/>
      <c r="P501" s="102"/>
    </row>
    <row r="502" spans="9:16">
      <c r="I502" s="118"/>
      <c r="J502" s="102"/>
      <c r="K502" s="102"/>
      <c r="L502" s="102"/>
      <c r="M502" s="102"/>
      <c r="N502" s="102"/>
      <c r="O502" s="102"/>
      <c r="P502" s="102"/>
    </row>
    <row r="503" spans="9:16">
      <c r="I503" s="118"/>
      <c r="J503" s="102"/>
      <c r="K503" s="102"/>
      <c r="L503" s="102"/>
      <c r="M503" s="102"/>
      <c r="N503" s="102"/>
      <c r="O503" s="102"/>
      <c r="P503" s="102"/>
    </row>
    <row r="504" spans="9:16">
      <c r="I504" s="118"/>
      <c r="J504" s="102"/>
      <c r="K504" s="102"/>
      <c r="L504" s="102"/>
      <c r="M504" s="102"/>
      <c r="N504" s="102"/>
      <c r="O504" s="102"/>
      <c r="P504" s="102"/>
    </row>
    <row r="505" spans="9:16">
      <c r="I505" s="118"/>
      <c r="J505" s="102"/>
      <c r="K505" s="102"/>
      <c r="L505" s="102"/>
      <c r="M505" s="102"/>
      <c r="N505" s="102"/>
      <c r="O505" s="102"/>
      <c r="P505" s="102"/>
    </row>
    <row r="506" spans="9:16">
      <c r="I506" s="118"/>
      <c r="J506" s="102"/>
      <c r="K506" s="102"/>
      <c r="L506" s="102"/>
      <c r="M506" s="102"/>
      <c r="N506" s="102"/>
      <c r="O506" s="102"/>
      <c r="P506" s="102"/>
    </row>
    <row r="507" spans="9:16">
      <c r="I507" s="118"/>
      <c r="J507" s="102"/>
      <c r="K507" s="102"/>
      <c r="L507" s="102"/>
      <c r="M507" s="102"/>
      <c r="N507" s="102"/>
      <c r="O507" s="102"/>
      <c r="P507" s="102"/>
    </row>
    <row r="508" spans="9:16">
      <c r="I508" s="118"/>
      <c r="J508" s="102"/>
      <c r="K508" s="102"/>
      <c r="L508" s="102"/>
      <c r="M508" s="102"/>
      <c r="N508" s="102"/>
      <c r="O508" s="102"/>
      <c r="P508" s="102"/>
    </row>
    <row r="509" spans="9:16">
      <c r="I509" s="118"/>
      <c r="J509" s="102"/>
      <c r="K509" s="102"/>
      <c r="L509" s="102"/>
      <c r="M509" s="102"/>
      <c r="N509" s="102"/>
      <c r="O509" s="102"/>
      <c r="P509" s="102"/>
    </row>
    <row r="510" spans="9:16">
      <c r="I510" s="118"/>
      <c r="J510" s="102"/>
      <c r="K510" s="102"/>
      <c r="L510" s="102"/>
      <c r="M510" s="102"/>
      <c r="N510" s="102"/>
      <c r="O510" s="102"/>
      <c r="P510" s="102"/>
    </row>
    <row r="511" spans="9:16">
      <c r="I511" s="118"/>
      <c r="J511" s="102"/>
      <c r="K511" s="102"/>
      <c r="L511" s="102"/>
      <c r="M511" s="102"/>
      <c r="N511" s="102"/>
      <c r="O511" s="102"/>
      <c r="P511" s="102"/>
    </row>
    <row r="512" spans="9:16">
      <c r="I512" s="118"/>
      <c r="J512" s="102"/>
      <c r="K512" s="102"/>
      <c r="L512" s="102"/>
      <c r="M512" s="102"/>
      <c r="N512" s="102"/>
      <c r="O512" s="102"/>
      <c r="P512" s="102"/>
    </row>
    <row r="513" spans="9:16">
      <c r="I513" s="118"/>
      <c r="J513" s="102"/>
      <c r="K513" s="102"/>
      <c r="L513" s="102"/>
      <c r="M513" s="102"/>
      <c r="N513" s="102"/>
      <c r="O513" s="102"/>
      <c r="P513" s="102"/>
    </row>
    <row r="514" spans="9:16">
      <c r="I514" s="118"/>
      <c r="J514" s="102"/>
      <c r="K514" s="102"/>
      <c r="L514" s="102"/>
      <c r="M514" s="102"/>
      <c r="N514" s="102"/>
      <c r="O514" s="102"/>
      <c r="P514" s="102"/>
    </row>
    <row r="515" spans="9:16">
      <c r="I515" s="118"/>
      <c r="J515" s="102"/>
      <c r="K515" s="102"/>
      <c r="L515" s="102"/>
      <c r="M515" s="102"/>
      <c r="N515" s="102"/>
      <c r="O515" s="102"/>
      <c r="P515" s="102"/>
    </row>
    <row r="516" spans="9:16">
      <c r="I516" s="118"/>
      <c r="J516" s="102"/>
      <c r="K516" s="102"/>
      <c r="L516" s="102"/>
      <c r="M516" s="102"/>
      <c r="N516" s="102"/>
      <c r="O516" s="102"/>
      <c r="P516" s="102"/>
    </row>
    <row r="517" spans="9:16">
      <c r="I517" s="118"/>
      <c r="J517" s="102"/>
      <c r="K517" s="102"/>
      <c r="L517" s="102"/>
      <c r="M517" s="102"/>
      <c r="N517" s="102"/>
      <c r="O517" s="102"/>
      <c r="P517" s="102"/>
    </row>
    <row r="518" spans="9:16">
      <c r="I518" s="118"/>
      <c r="J518" s="102"/>
      <c r="K518" s="102"/>
      <c r="L518" s="102"/>
      <c r="M518" s="102"/>
      <c r="N518" s="102"/>
      <c r="O518" s="102"/>
      <c r="P518" s="102"/>
    </row>
    <row r="519" spans="9:16">
      <c r="I519" s="118"/>
      <c r="J519" s="102"/>
      <c r="K519" s="102"/>
      <c r="L519" s="102"/>
      <c r="M519" s="102"/>
      <c r="N519" s="102"/>
      <c r="O519" s="102"/>
      <c r="P519" s="102"/>
    </row>
    <row r="520" spans="9:16">
      <c r="I520" s="118"/>
      <c r="J520" s="102"/>
      <c r="K520" s="102"/>
      <c r="L520" s="102"/>
      <c r="M520" s="102"/>
      <c r="N520" s="102"/>
      <c r="O520" s="102"/>
      <c r="P520" s="102"/>
    </row>
    <row r="521" spans="9:16">
      <c r="I521" s="118"/>
      <c r="J521" s="102"/>
      <c r="K521" s="102"/>
      <c r="L521" s="102"/>
      <c r="M521" s="102"/>
      <c r="N521" s="102"/>
      <c r="O521" s="102"/>
      <c r="P521" s="102"/>
    </row>
    <row r="522" spans="9:16">
      <c r="I522" s="118"/>
      <c r="J522" s="102"/>
      <c r="K522" s="102"/>
      <c r="L522" s="102"/>
      <c r="M522" s="102"/>
      <c r="N522" s="102"/>
      <c r="O522" s="102"/>
      <c r="P522" s="102"/>
    </row>
    <row r="523" spans="9:16">
      <c r="I523" s="118"/>
      <c r="J523" s="102"/>
      <c r="K523" s="102"/>
      <c r="L523" s="102"/>
      <c r="M523" s="102"/>
      <c r="N523" s="102"/>
      <c r="O523" s="102"/>
      <c r="P523" s="102"/>
    </row>
    <row r="524" spans="9:16">
      <c r="I524" s="118"/>
      <c r="J524" s="102"/>
      <c r="K524" s="102"/>
      <c r="L524" s="102"/>
      <c r="M524" s="102"/>
      <c r="N524" s="102"/>
      <c r="O524" s="102"/>
      <c r="P524" s="102"/>
    </row>
    <row r="525" spans="9:16">
      <c r="I525" s="118"/>
      <c r="J525" s="102"/>
      <c r="K525" s="102"/>
      <c r="L525" s="102"/>
      <c r="M525" s="102"/>
      <c r="N525" s="102"/>
      <c r="O525" s="102"/>
      <c r="P525" s="102"/>
    </row>
    <row r="526" spans="9:16">
      <c r="I526" s="118"/>
      <c r="J526" s="102"/>
      <c r="K526" s="102"/>
      <c r="L526" s="102"/>
      <c r="M526" s="102"/>
      <c r="N526" s="102"/>
      <c r="O526" s="102"/>
      <c r="P526" s="102"/>
    </row>
    <row r="527" spans="9:16">
      <c r="I527" s="118"/>
      <c r="J527" s="102"/>
      <c r="K527" s="102"/>
      <c r="L527" s="102"/>
      <c r="M527" s="102"/>
      <c r="N527" s="102"/>
      <c r="O527" s="102"/>
      <c r="P527" s="102"/>
    </row>
    <row r="528" spans="9:16">
      <c r="I528" s="118"/>
      <c r="J528" s="102"/>
      <c r="K528" s="102"/>
      <c r="L528" s="102"/>
      <c r="M528" s="102"/>
      <c r="N528" s="102"/>
      <c r="O528" s="102"/>
      <c r="P528" s="102"/>
    </row>
    <row r="529" spans="9:16">
      <c r="I529" s="118"/>
      <c r="J529" s="102"/>
      <c r="K529" s="102"/>
      <c r="L529" s="102"/>
      <c r="M529" s="102"/>
      <c r="N529" s="102"/>
      <c r="O529" s="102"/>
      <c r="P529" s="102"/>
    </row>
    <row r="530" spans="9:16">
      <c r="I530" s="118"/>
      <c r="J530" s="102"/>
      <c r="K530" s="102"/>
      <c r="L530" s="102"/>
      <c r="M530" s="102"/>
      <c r="N530" s="102"/>
      <c r="O530" s="102"/>
      <c r="P530" s="102"/>
    </row>
    <row r="531" spans="9:16">
      <c r="I531" s="118"/>
      <c r="J531" s="102"/>
      <c r="K531" s="102"/>
      <c r="L531" s="102"/>
      <c r="M531" s="102"/>
      <c r="N531" s="102"/>
      <c r="O531" s="102"/>
      <c r="P531" s="102"/>
    </row>
    <row r="532" spans="9:16">
      <c r="I532" s="118"/>
      <c r="J532" s="102"/>
      <c r="K532" s="102"/>
      <c r="L532" s="102"/>
      <c r="M532" s="102"/>
      <c r="N532" s="102"/>
      <c r="O532" s="102"/>
      <c r="P532" s="102"/>
    </row>
  </sheetData>
  <mergeCells count="46">
    <mergeCell ref="A30:H30"/>
    <mergeCell ref="I30:P30"/>
    <mergeCell ref="Q2:X2"/>
    <mergeCell ref="D7:G7"/>
    <mergeCell ref="L7:O7"/>
    <mergeCell ref="A29:H29"/>
    <mergeCell ref="I29:P29"/>
    <mergeCell ref="D39:G39"/>
    <mergeCell ref="L39:O39"/>
    <mergeCell ref="A61:H61"/>
    <mergeCell ref="I61:P61"/>
    <mergeCell ref="D70:G70"/>
    <mergeCell ref="L70:O70"/>
    <mergeCell ref="A92:H92"/>
    <mergeCell ref="I92:P92"/>
    <mergeCell ref="D101:G101"/>
    <mergeCell ref="L101:O101"/>
    <mergeCell ref="A123:H123"/>
    <mergeCell ref="I123:P123"/>
    <mergeCell ref="D132:G132"/>
    <mergeCell ref="L132:O132"/>
    <mergeCell ref="A154:H154"/>
    <mergeCell ref="I154:P154"/>
    <mergeCell ref="D162:G162"/>
    <mergeCell ref="L162:O162"/>
    <mergeCell ref="I184:P184"/>
    <mergeCell ref="D193:G193"/>
    <mergeCell ref="L193:O193"/>
    <mergeCell ref="A215:H215"/>
    <mergeCell ref="I215:P215"/>
    <mergeCell ref="D438:G438"/>
    <mergeCell ref="A62:H62"/>
    <mergeCell ref="I62:P62"/>
    <mergeCell ref="D317:G317"/>
    <mergeCell ref="A339:H339"/>
    <mergeCell ref="D347:G347"/>
    <mergeCell ref="A369:H369"/>
    <mergeCell ref="D378:G378"/>
    <mergeCell ref="D408:G408"/>
    <mergeCell ref="D224:G224"/>
    <mergeCell ref="A246:H246"/>
    <mergeCell ref="D255:G255"/>
    <mergeCell ref="A277:H277"/>
    <mergeCell ref="D286:G286"/>
    <mergeCell ref="A308:H308"/>
    <mergeCell ref="A184:H184"/>
  </mergeCells>
  <conditionalFormatting sqref="Q1:R7 Q9:R1048576">
    <cfRule type="cellIs" dxfId="815" priority="1" stopIfTrue="1" operator="notEqual">
      <formula>100</formula>
    </cfRule>
  </conditionalFormatting>
  <pageMargins left="0.7" right="0.7" top="0.75" bottom="0.75" header="0.3" footer="0.3"/>
  <pageSetup firstPageNumber="99" orientation="landscape" useFirstPageNumber="1" r:id="rId1"/>
  <headerFooter>
    <oddHeader>&amp;R&amp;"Arial,Regular"&amp;8SREB-State Data Exchange</oddHeader>
    <oddFooter>&amp;C&amp;"Arial,Regular"&amp;10&amp;P</oddFooter>
  </headerFooter>
  <rowBreaks count="14" manualBreakCount="14">
    <brk id="32" max="15" man="1"/>
    <brk id="63" max="15" man="1"/>
    <brk id="94" max="15" man="1"/>
    <brk id="125" max="15" man="1"/>
    <brk id="155" max="15" man="1"/>
    <brk id="186" max="15" man="1"/>
    <brk id="217" max="15" man="1"/>
    <brk id="248" max="15" man="1"/>
    <brk id="279" max="15" man="1"/>
    <brk id="310" max="15" man="1"/>
    <brk id="340" max="15" man="1"/>
    <brk id="371" max="15" man="1"/>
    <brk id="401" max="15" man="1"/>
    <brk id="431" max="15" man="1"/>
  </rowBreaks>
  <colBreaks count="1" manualBreakCount="1">
    <brk id="8" max="460"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O532"/>
  <sheetViews>
    <sheetView showGridLines="0" showZeros="0" view="pageLayout" topLeftCell="I187" zoomScaleNormal="100" zoomScaleSheetLayoutView="100" workbookViewId="0">
      <selection activeCell="N120" sqref="N120"/>
    </sheetView>
  </sheetViews>
  <sheetFormatPr defaultRowHeight="12.75"/>
  <cols>
    <col min="1" max="1" width="13.42578125" style="50" customWidth="1"/>
    <col min="2" max="3" width="9.42578125" style="50" bestFit="1" customWidth="1"/>
    <col min="4" max="4" width="9.85546875" style="50" bestFit="1" customWidth="1"/>
    <col min="5" max="5" width="5.7109375" style="50" bestFit="1" customWidth="1"/>
    <col min="6" max="6" width="11.42578125" style="50" customWidth="1"/>
    <col min="7" max="7" width="7.85546875" style="50" bestFit="1" customWidth="1"/>
    <col min="8" max="8" width="12.28515625" style="102" bestFit="1" customWidth="1"/>
    <col min="9" max="9" width="13" style="126" customWidth="1"/>
    <col min="10" max="11" width="9" style="50" customWidth="1"/>
    <col min="12" max="12" width="10" style="50" bestFit="1" customWidth="1"/>
    <col min="13" max="13" width="6.42578125" style="50" bestFit="1" customWidth="1"/>
    <col min="14" max="14" width="11.28515625" style="50" customWidth="1"/>
    <col min="15" max="15" width="7.85546875" style="50" bestFit="1" customWidth="1"/>
    <col min="16" max="16" width="12.28515625" style="50" bestFit="1" customWidth="1"/>
    <col min="17" max="17" width="11.5703125" style="130" bestFit="1" customWidth="1"/>
    <col min="18" max="18" width="11.5703125" style="132" bestFit="1" customWidth="1"/>
    <col min="19" max="16384" width="9.140625" style="50"/>
  </cols>
  <sheetData>
    <row r="1" spans="1:41" ht="18">
      <c r="A1" s="16" t="s">
        <v>265</v>
      </c>
      <c r="B1" s="71"/>
      <c r="C1" s="71"/>
      <c r="D1" s="71"/>
      <c r="E1" s="71"/>
      <c r="F1" s="71"/>
      <c r="G1" s="71"/>
      <c r="H1" s="72"/>
      <c r="I1" s="16" t="s">
        <v>280</v>
      </c>
      <c r="J1" s="23"/>
      <c r="K1" s="23"/>
      <c r="L1" s="71"/>
      <c r="M1" s="23"/>
      <c r="N1" s="23"/>
      <c r="O1" s="23"/>
      <c r="P1" s="23"/>
      <c r="Q1" s="127"/>
      <c r="R1" s="128"/>
    </row>
    <row r="2" spans="1:41" ht="15">
      <c r="A2" s="22"/>
      <c r="B2" s="23"/>
      <c r="C2" s="23"/>
      <c r="D2" s="23"/>
      <c r="E2" s="23"/>
      <c r="F2" s="23"/>
      <c r="G2" s="23"/>
      <c r="H2" s="73"/>
      <c r="I2" s="22"/>
      <c r="J2" s="23"/>
      <c r="K2" s="23"/>
      <c r="L2" s="23"/>
      <c r="M2" s="23"/>
      <c r="N2" s="23"/>
      <c r="O2" s="23"/>
      <c r="P2" s="23"/>
      <c r="Q2" s="665"/>
      <c r="R2" s="663"/>
      <c r="S2" s="663"/>
      <c r="T2" s="663"/>
      <c r="U2" s="663"/>
      <c r="V2" s="663"/>
      <c r="W2" s="663"/>
      <c r="X2" s="663"/>
    </row>
    <row r="3" spans="1:41" ht="15.75">
      <c r="A3" s="74" t="s">
        <v>205</v>
      </c>
      <c r="B3" s="23"/>
      <c r="C3" s="23"/>
      <c r="D3" s="23"/>
      <c r="E3" s="23"/>
      <c r="F3" s="23"/>
      <c r="G3" s="23"/>
      <c r="H3" s="73"/>
      <c r="I3" s="74" t="s">
        <v>206</v>
      </c>
      <c r="J3" s="23"/>
      <c r="K3" s="23"/>
      <c r="L3" s="23"/>
      <c r="M3" s="23"/>
      <c r="N3" s="23"/>
      <c r="O3" s="23"/>
      <c r="P3" s="23"/>
      <c r="R3" s="131" t="s">
        <v>39</v>
      </c>
    </row>
    <row r="4" spans="1:41" ht="15.75">
      <c r="A4" s="74" t="s">
        <v>261</v>
      </c>
      <c r="B4" s="23"/>
      <c r="C4" s="23"/>
      <c r="D4" s="23"/>
      <c r="E4" s="23"/>
      <c r="F4" s="23"/>
      <c r="G4" s="23"/>
      <c r="H4" s="73"/>
      <c r="I4" s="74" t="s">
        <v>261</v>
      </c>
      <c r="J4" s="23"/>
      <c r="K4" s="23"/>
      <c r="L4" s="23"/>
      <c r="M4" s="23"/>
      <c r="N4" s="23"/>
      <c r="O4" s="23"/>
      <c r="P4" s="23"/>
      <c r="R4" s="131" t="s">
        <v>39</v>
      </c>
    </row>
    <row r="5" spans="1:41">
      <c r="A5" s="76"/>
      <c r="B5" s="77"/>
      <c r="C5" s="77"/>
      <c r="D5" s="77"/>
      <c r="E5" s="77"/>
      <c r="F5" s="77"/>
      <c r="G5" s="77"/>
      <c r="H5" s="77"/>
      <c r="I5" s="78"/>
      <c r="L5" s="79"/>
      <c r="P5" s="76"/>
    </row>
    <row r="6" spans="1:41" s="85" customFormat="1" ht="12">
      <c r="A6" s="80"/>
      <c r="B6" s="81" t="s">
        <v>207</v>
      </c>
      <c r="C6" s="81"/>
      <c r="D6" s="81"/>
      <c r="E6" s="81"/>
      <c r="F6" s="81"/>
      <c r="G6" s="81"/>
      <c r="H6" s="82"/>
      <c r="I6" s="80"/>
      <c r="J6" s="81" t="s">
        <v>207</v>
      </c>
      <c r="K6" s="81"/>
      <c r="L6" s="81"/>
      <c r="M6" s="81"/>
      <c r="N6" s="81"/>
      <c r="O6" s="81"/>
      <c r="P6" s="82"/>
      <c r="Q6" s="133"/>
      <c r="R6" s="134"/>
    </row>
    <row r="7" spans="1:41" s="85" customFormat="1" ht="12">
      <c r="A7" s="80"/>
      <c r="B7" s="81" t="s">
        <v>208</v>
      </c>
      <c r="C7" s="81"/>
      <c r="D7" s="653" t="s">
        <v>209</v>
      </c>
      <c r="E7" s="654"/>
      <c r="F7" s="654"/>
      <c r="G7" s="654"/>
      <c r="H7" s="86" t="s">
        <v>39</v>
      </c>
      <c r="I7" s="80"/>
      <c r="J7" s="81" t="s">
        <v>208</v>
      </c>
      <c r="K7" s="81"/>
      <c r="L7" s="653" t="s">
        <v>209</v>
      </c>
      <c r="M7" s="654"/>
      <c r="N7" s="654"/>
      <c r="O7" s="654"/>
      <c r="P7" s="86" t="s">
        <v>39</v>
      </c>
      <c r="Q7" s="133"/>
      <c r="R7" s="134"/>
    </row>
    <row r="8" spans="1:41" s="85" customFormat="1" ht="40.5" customHeight="1">
      <c r="A8" s="80"/>
      <c r="B8" s="87" t="s">
        <v>210</v>
      </c>
      <c r="C8" s="88" t="s">
        <v>211</v>
      </c>
      <c r="D8" s="89" t="s">
        <v>212</v>
      </c>
      <c r="E8" s="90" t="s">
        <v>7</v>
      </c>
      <c r="F8" s="87" t="s">
        <v>213</v>
      </c>
      <c r="G8" s="91" t="s">
        <v>214</v>
      </c>
      <c r="H8" s="92" t="s">
        <v>215</v>
      </c>
      <c r="I8" s="80"/>
      <c r="J8" s="87" t="s">
        <v>210</v>
      </c>
      <c r="K8" s="88" t="s">
        <v>211</v>
      </c>
      <c r="L8" s="89" t="s">
        <v>212</v>
      </c>
      <c r="M8" s="90" t="s">
        <v>7</v>
      </c>
      <c r="N8" s="87" t="s">
        <v>213</v>
      </c>
      <c r="O8" s="91" t="s">
        <v>214</v>
      </c>
      <c r="P8" s="92" t="s">
        <v>215</v>
      </c>
      <c r="Q8" s="93" t="s">
        <v>216</v>
      </c>
      <c r="R8" s="93" t="s">
        <v>216</v>
      </c>
      <c r="S8" s="94"/>
    </row>
    <row r="9" spans="1:41" ht="15.75" customHeight="1">
      <c r="A9" s="95" t="s">
        <v>175</v>
      </c>
      <c r="B9" s="597">
        <f>('Pivot Table for Data Exchange'!$J$6)*100</f>
        <v>89.402747127563075</v>
      </c>
      <c r="C9" s="597">
        <f>('Pivot Table for Data Exchange'!$J$9)*100</f>
        <v>0.59790211261551818</v>
      </c>
      <c r="D9" s="603">
        <f>SUM(E9:G9)</f>
        <v>9.9991704153273595</v>
      </c>
      <c r="E9" s="597">
        <f>('Pivot Table for Data Exchange'!$J$12)*100</f>
        <v>9.7100781913611378</v>
      </c>
      <c r="F9" s="597">
        <f>('Pivot Table for Data Exchange'!$J$15)*100</f>
        <v>9.5792983757573724E-2</v>
      </c>
      <c r="G9" s="97">
        <f>('Pivot Table for Data Exchange'!$J$18)*100</f>
        <v>0.19329924020864656</v>
      </c>
      <c r="H9" s="633">
        <f>('Pivot Table for Data Exchange'!$J$21)*100</f>
        <v>1.8034449405253915E-4</v>
      </c>
      <c r="I9" s="618" t="s">
        <v>175</v>
      </c>
      <c r="J9" s="597">
        <f>('Pivot Table for Data Exchange'!$J$24)*100</f>
        <v>72.373852137428614</v>
      </c>
      <c r="K9" s="597">
        <f>('Pivot Table for Data Exchange'!$J$27)*100</f>
        <v>3.1759304176134671</v>
      </c>
      <c r="L9" s="603">
        <f>SUM(M9:O9)</f>
        <v>24.450217444957914</v>
      </c>
      <c r="M9" s="597">
        <f>('Pivot Table for Data Exchange'!$J$30)*100</f>
        <v>21.476625730844844</v>
      </c>
      <c r="N9" s="597">
        <f>('Pivot Table for Data Exchange'!$J$33)*100</f>
        <v>0.22595552378277631</v>
      </c>
      <c r="O9" s="97">
        <f>('Pivot Table for Data Exchange'!$J$36)*100</f>
        <v>2.747636190330295</v>
      </c>
      <c r="P9" s="597">
        <f>('Pivot Table for Data Exchange'!$J$39)*100</f>
        <v>0</v>
      </c>
      <c r="Q9" s="135">
        <f>SUM(B9,C9,D9,H9)</f>
        <v>100</v>
      </c>
      <c r="R9" s="135">
        <f>SUM(J9,K9,L9,P9)</f>
        <v>100</v>
      </c>
      <c r="S9" s="100"/>
      <c r="T9" s="85"/>
      <c r="U9" s="85"/>
      <c r="V9" s="85"/>
      <c r="W9" s="85"/>
      <c r="X9" s="85"/>
      <c r="Y9" s="85"/>
      <c r="Z9" s="85"/>
      <c r="AA9" s="85"/>
      <c r="AB9" s="85"/>
      <c r="AC9" s="85"/>
      <c r="AD9" s="85"/>
      <c r="AE9" s="85"/>
      <c r="AF9" s="85"/>
      <c r="AG9" s="100"/>
      <c r="AH9" s="100"/>
      <c r="AI9" s="100"/>
      <c r="AJ9" s="100"/>
      <c r="AK9" s="100"/>
      <c r="AL9" s="100"/>
      <c r="AM9" s="100"/>
      <c r="AN9" s="100"/>
      <c r="AO9" s="100"/>
    </row>
    <row r="10" spans="1:41" ht="15.75" customHeight="1">
      <c r="A10" s="102" t="s">
        <v>176</v>
      </c>
      <c r="B10" s="597">
        <f>('Pivot Table for Data Exchange'!$J$42)*100</f>
        <v>84.734226328315813</v>
      </c>
      <c r="C10" s="597">
        <f>('Pivot Table for Data Exchange'!$J$45)*100</f>
        <v>4.2175477231240022</v>
      </c>
      <c r="D10" s="603">
        <f t="shared" ref="D10:D26" si="0">SUM(E10:G10)</f>
        <v>11.0130633920615</v>
      </c>
      <c r="E10" s="597">
        <f>('Pivot Table for Data Exchange'!$J$48)*100</f>
        <v>9.8470730185648261</v>
      </c>
      <c r="F10" s="597">
        <f>('Pivot Table for Data Exchange'!$J$51)*100</f>
        <v>1.0459353591654219</v>
      </c>
      <c r="G10" s="599">
        <f>('Pivot Table for Data Exchange'!$J$54)*100</f>
        <v>0.12005501433125339</v>
      </c>
      <c r="H10" s="104">
        <f>('Pivot Table for Data Exchange'!$J$57)*100</f>
        <v>3.5162556498693459E-2</v>
      </c>
      <c r="I10" s="125" t="s">
        <v>176</v>
      </c>
      <c r="J10" s="597">
        <f>('Pivot Table for Data Exchange'!$J$60)*100</f>
        <v>56.73971517178844</v>
      </c>
      <c r="K10" s="597">
        <f>('Pivot Table for Data Exchange'!$J$63)*100</f>
        <v>8.1406158324253077</v>
      </c>
      <c r="L10" s="603">
        <f t="shared" ref="L10:L26" si="1">SUM(M10:O10)</f>
        <v>35.119668995786249</v>
      </c>
      <c r="M10" s="597">
        <f>('Pivot Table for Data Exchange'!$J$66)*100</f>
        <v>31.589414570586037</v>
      </c>
      <c r="N10" s="597">
        <f>('Pivot Table for Data Exchange'!$J$69)*100</f>
        <v>2.0843969307436163</v>
      </c>
      <c r="O10" s="599">
        <f>('Pivot Table for Data Exchange'!$J$72)*100</f>
        <v>1.4458574944565938</v>
      </c>
      <c r="P10" s="597">
        <f>('Pivot Table for Data Exchange'!$J$75)*100</f>
        <v>0</v>
      </c>
      <c r="Q10" s="135">
        <f>SUM(B10,C10,D10,H10)</f>
        <v>100</v>
      </c>
      <c r="R10" s="135">
        <f t="shared" ref="R10:R74" si="2">SUM(J10,K10,L10,P10)</f>
        <v>100</v>
      </c>
      <c r="S10" s="100"/>
      <c r="T10" s="85"/>
      <c r="U10" s="85"/>
      <c r="V10" s="85"/>
      <c r="W10" s="85"/>
      <c r="X10" s="85"/>
      <c r="Y10" s="85"/>
      <c r="Z10" s="85"/>
      <c r="AA10" s="85"/>
      <c r="AB10" s="85"/>
      <c r="AC10" s="85"/>
      <c r="AD10" s="85"/>
      <c r="AE10" s="85"/>
      <c r="AF10" s="85"/>
      <c r="AG10" s="100"/>
      <c r="AH10" s="100"/>
      <c r="AI10" s="100"/>
      <c r="AJ10" s="100"/>
      <c r="AK10" s="100"/>
      <c r="AL10" s="100"/>
      <c r="AM10" s="100"/>
      <c r="AN10" s="100"/>
      <c r="AO10" s="100"/>
    </row>
    <row r="11" spans="1:41" ht="15.75" customHeight="1">
      <c r="A11" s="102" t="s">
        <v>177</v>
      </c>
      <c r="B11" s="597">
        <f>('Pivot Table for Data Exchange'!$J$78)*100</f>
        <v>97.07414553913992</v>
      </c>
      <c r="C11" s="597">
        <f>('Pivot Table for Data Exchange'!$J$81)*100</f>
        <v>0</v>
      </c>
      <c r="D11" s="603">
        <f t="shared" si="0"/>
        <v>2.9258544608600769</v>
      </c>
      <c r="E11" s="597">
        <f>('Pivot Table for Data Exchange'!$J$84)*100</f>
        <v>2.9258544608600769</v>
      </c>
      <c r="F11" s="597">
        <f>('Pivot Table for Data Exchange'!$J$87)*100</f>
        <v>0</v>
      </c>
      <c r="G11" s="599">
        <f>('Pivot Table for Data Exchange'!$J$90)*100</f>
        <v>0</v>
      </c>
      <c r="H11" s="597">
        <f>('Pivot Table for Data Exchange'!$J$93)*100</f>
        <v>0</v>
      </c>
      <c r="I11" s="125" t="s">
        <v>177</v>
      </c>
      <c r="J11" s="597">
        <f>('Pivot Table for Data Exchange'!$J$96)*100</f>
        <v>94.555499590757407</v>
      </c>
      <c r="K11" s="597">
        <f>('Pivot Table for Data Exchange'!$J$99)*100</f>
        <v>0</v>
      </c>
      <c r="L11" s="603">
        <f t="shared" si="1"/>
        <v>5.4445004092425862</v>
      </c>
      <c r="M11" s="597">
        <f>('Pivot Table for Data Exchange'!$J$102)*100</f>
        <v>5.2414531259837558</v>
      </c>
      <c r="N11" s="597">
        <f>('Pivot Table for Data Exchange'!$J$105)*100</f>
        <v>0.20304728325883017</v>
      </c>
      <c r="O11" s="599">
        <f>('Pivot Table for Data Exchange'!$J$108)*100</f>
        <v>0</v>
      </c>
      <c r="P11" s="597">
        <f>('Pivot Table for Data Exchange'!$J$111)*100</f>
        <v>0</v>
      </c>
      <c r="Q11" s="135">
        <f t="shared" ref="Q11:Q74" si="3">SUM(B11,C11,D11,H11)</f>
        <v>100</v>
      </c>
      <c r="R11" s="135">
        <f t="shared" si="2"/>
        <v>100</v>
      </c>
      <c r="S11" s="100"/>
      <c r="T11" s="85"/>
      <c r="U11" s="85"/>
      <c r="V11" s="85"/>
      <c r="W11" s="85"/>
      <c r="X11" s="85"/>
      <c r="Y11" s="85"/>
      <c r="Z11" s="85"/>
      <c r="AA11" s="85"/>
      <c r="AB11" s="85"/>
      <c r="AC11" s="85"/>
      <c r="AD11" s="85"/>
      <c r="AE11" s="85"/>
      <c r="AF11" s="85"/>
      <c r="AG11" s="100"/>
      <c r="AH11" s="100"/>
      <c r="AI11" s="100"/>
      <c r="AJ11" s="100"/>
      <c r="AK11" s="100"/>
      <c r="AL11" s="100"/>
      <c r="AM11" s="100"/>
      <c r="AN11" s="100"/>
      <c r="AO11" s="100"/>
    </row>
    <row r="12" spans="1:41" ht="15.75" customHeight="1">
      <c r="A12" s="102" t="s">
        <v>217</v>
      </c>
      <c r="B12" s="597">
        <f>('Pivot Table for Data Exchange'!$J$114)*100</f>
        <v>74.254212940448994</v>
      </c>
      <c r="C12" s="597">
        <f>('Pivot Table for Data Exchange'!$J$117)*100</f>
        <v>8.1468315461122565</v>
      </c>
      <c r="D12" s="603">
        <f t="shared" si="0"/>
        <v>17.502470263538797</v>
      </c>
      <c r="E12" s="597">
        <f>('Pivot Table for Data Exchange'!$J$120)*100</f>
        <v>14.921884554149727</v>
      </c>
      <c r="F12" s="597">
        <f>('Pivot Table for Data Exchange'!$J$123)*100</f>
        <v>6.8366445295073769E-2</v>
      </c>
      <c r="G12" s="599">
        <f>('Pivot Table for Data Exchange'!$J$126)*100</f>
        <v>2.5122192640939947</v>
      </c>
      <c r="H12" s="597">
        <f>('Pivot Table for Data Exchange'!$J$129)*100</f>
        <v>9.648524989995505E-2</v>
      </c>
      <c r="I12" s="125" t="s">
        <v>217</v>
      </c>
      <c r="J12" s="597">
        <f>('Pivot Table for Data Exchange'!$J$132)*100</f>
        <v>67.54766668511914</v>
      </c>
      <c r="K12" s="597">
        <f>('Pivot Table for Data Exchange'!$J$135)*100</f>
        <v>9.5485998529074507</v>
      </c>
      <c r="L12" s="603">
        <f t="shared" si="1"/>
        <v>22.894480866106242</v>
      </c>
      <c r="M12" s="597">
        <f>('Pivot Table for Data Exchange'!$J$138)*100</f>
        <v>18.720532063803372</v>
      </c>
      <c r="N12" s="597">
        <f>('Pivot Table for Data Exchange'!$J$141)*100</f>
        <v>0.13293686882666014</v>
      </c>
      <c r="O12" s="599">
        <f>('Pivot Table for Data Exchange'!$J$144)*100</f>
        <v>4.0410119334762085</v>
      </c>
      <c r="P12" s="104">
        <f>('Pivot Table for Data Exchange'!$J$147)*100</f>
        <v>9.2525958671738455E-3</v>
      </c>
      <c r="Q12" s="135">
        <f t="shared" si="3"/>
        <v>100</v>
      </c>
      <c r="R12" s="135">
        <f t="shared" si="2"/>
        <v>100</v>
      </c>
      <c r="S12" s="100"/>
      <c r="T12" s="85"/>
      <c r="U12" s="85"/>
      <c r="V12" s="85"/>
      <c r="W12" s="85"/>
      <c r="X12" s="85"/>
      <c r="Y12" s="85"/>
      <c r="Z12" s="85"/>
      <c r="AA12" s="85"/>
      <c r="AB12" s="85"/>
      <c r="AC12" s="85"/>
      <c r="AD12" s="85"/>
      <c r="AE12" s="85"/>
      <c r="AF12" s="85"/>
      <c r="AG12" s="100"/>
      <c r="AH12" s="100"/>
      <c r="AI12" s="100"/>
      <c r="AJ12" s="100"/>
      <c r="AK12" s="100"/>
      <c r="AL12" s="100"/>
      <c r="AM12" s="100"/>
      <c r="AN12" s="100"/>
      <c r="AO12" s="100"/>
    </row>
    <row r="13" spans="1:41" ht="9.75" customHeight="1">
      <c r="A13" s="102"/>
      <c r="B13" s="597"/>
      <c r="C13" s="597"/>
      <c r="D13" s="603"/>
      <c r="E13" s="597"/>
      <c r="F13" s="597"/>
      <c r="G13" s="599"/>
      <c r="H13" s="597"/>
      <c r="I13" s="125"/>
      <c r="J13" s="597"/>
      <c r="K13" s="597"/>
      <c r="L13" s="603"/>
      <c r="M13" s="597"/>
      <c r="N13" s="597"/>
      <c r="O13" s="599"/>
      <c r="P13" s="597"/>
      <c r="Q13" s="135">
        <f t="shared" si="3"/>
        <v>0</v>
      </c>
      <c r="R13" s="135">
        <f t="shared" si="2"/>
        <v>0</v>
      </c>
      <c r="S13" s="100"/>
      <c r="T13" s="85"/>
      <c r="U13" s="85"/>
      <c r="V13" s="85"/>
      <c r="W13" s="85"/>
      <c r="X13" s="85"/>
      <c r="Y13" s="85"/>
      <c r="Z13" s="85"/>
      <c r="AA13" s="85"/>
      <c r="AB13" s="85"/>
      <c r="AC13" s="85"/>
      <c r="AD13" s="85"/>
      <c r="AE13" s="85"/>
      <c r="AF13" s="85"/>
      <c r="AG13" s="100"/>
      <c r="AH13" s="100"/>
      <c r="AI13" s="100"/>
      <c r="AJ13" s="100"/>
      <c r="AK13" s="100"/>
      <c r="AL13" s="100"/>
      <c r="AM13" s="100"/>
      <c r="AN13" s="100"/>
      <c r="AO13" s="100"/>
    </row>
    <row r="14" spans="1:41" ht="15.75" customHeight="1">
      <c r="A14" s="102" t="s">
        <v>179</v>
      </c>
      <c r="B14" s="597">
        <f>('Pivot Table for Data Exchange'!$J$150)*100</f>
        <v>0</v>
      </c>
      <c r="C14" s="597">
        <f>('Pivot Table for Data Exchange'!$J$153)*100</f>
        <v>0</v>
      </c>
      <c r="D14" s="603">
        <f t="shared" si="0"/>
        <v>0</v>
      </c>
      <c r="E14" s="597">
        <f>('Pivot Table for Data Exchange'!$J$156)*100</f>
        <v>0</v>
      </c>
      <c r="F14" s="597">
        <f>('Pivot Table for Data Exchange'!$J$159)*100</f>
        <v>0</v>
      </c>
      <c r="G14" s="599">
        <f>('Pivot Table for Data Exchange'!$J$162)*100</f>
        <v>0</v>
      </c>
      <c r="H14" s="597">
        <f>('Pivot Table for Data Exchange'!$J$165)*100</f>
        <v>0</v>
      </c>
      <c r="I14" s="125" t="s">
        <v>179</v>
      </c>
      <c r="J14" s="597">
        <f>('Pivot Table for Data Exchange'!$J$168)*100</f>
        <v>0</v>
      </c>
      <c r="K14" s="597">
        <f>('Pivot Table for Data Exchange'!$J$171)*100</f>
        <v>0</v>
      </c>
      <c r="L14" s="603">
        <f t="shared" si="1"/>
        <v>0</v>
      </c>
      <c r="M14" s="597">
        <f>('Pivot Table for Data Exchange'!$J$174)*100</f>
        <v>0</v>
      </c>
      <c r="N14" s="597">
        <f>('Pivot Table for Data Exchange'!$J$177)*100</f>
        <v>0</v>
      </c>
      <c r="O14" s="599">
        <f>('Pivot Table for Data Exchange'!$J$180)*100</f>
        <v>0</v>
      </c>
      <c r="P14" s="597">
        <f>('Pivot Table for Data Exchange'!$J$183)*100</f>
        <v>0</v>
      </c>
      <c r="Q14" s="135">
        <f t="shared" si="3"/>
        <v>0</v>
      </c>
      <c r="R14" s="135">
        <f t="shared" si="2"/>
        <v>0</v>
      </c>
      <c r="S14" s="100"/>
      <c r="T14" s="85"/>
      <c r="U14" s="85"/>
      <c r="V14" s="85"/>
      <c r="W14" s="85"/>
      <c r="X14" s="85"/>
      <c r="Y14" s="85"/>
      <c r="Z14" s="85"/>
      <c r="AA14" s="85"/>
      <c r="AB14" s="85"/>
      <c r="AC14" s="85"/>
      <c r="AD14" s="85"/>
      <c r="AE14" s="85"/>
      <c r="AF14" s="85"/>
      <c r="AG14" s="100"/>
      <c r="AH14" s="100"/>
      <c r="AI14" s="100"/>
      <c r="AJ14" s="100"/>
      <c r="AK14" s="100"/>
      <c r="AL14" s="100"/>
      <c r="AM14" s="100"/>
      <c r="AN14" s="100"/>
      <c r="AO14" s="100"/>
    </row>
    <row r="15" spans="1:41" ht="15.75" customHeight="1">
      <c r="A15" s="102" t="s">
        <v>180</v>
      </c>
      <c r="B15" s="597">
        <f>('Pivot Table for Data Exchange'!$J$186)*100</f>
        <v>85.295181262260229</v>
      </c>
      <c r="C15" s="597">
        <f>('Pivot Table for Data Exchange'!$J$189)*100</f>
        <v>4.601256360971802</v>
      </c>
      <c r="D15" s="603">
        <f t="shared" si="0"/>
        <v>10.103562376767982</v>
      </c>
      <c r="E15" s="597">
        <f>('Pivot Table for Data Exchange'!$J$192)*100</f>
        <v>8.6834799036120671</v>
      </c>
      <c r="F15" s="597">
        <f>('Pivot Table for Data Exchange'!$J$195)*100</f>
        <v>1.3219425959237843</v>
      </c>
      <c r="G15" s="599">
        <f>('Pivot Table for Data Exchange'!$J$198)*100</f>
        <v>9.8139877232129885E-2</v>
      </c>
      <c r="H15" s="597">
        <f>('Pivot Table for Data Exchange'!$J$201)*100</f>
        <v>0</v>
      </c>
      <c r="I15" s="125" t="s">
        <v>180</v>
      </c>
      <c r="J15" s="597">
        <f>('Pivot Table for Data Exchange'!$J$204)*100</f>
        <v>70.30989068798668</v>
      </c>
      <c r="K15" s="597">
        <f>('Pivot Table for Data Exchange'!$J$207)*100</f>
        <v>4.9484025275726857</v>
      </c>
      <c r="L15" s="603">
        <f t="shared" si="1"/>
        <v>24.741706784440627</v>
      </c>
      <c r="M15" s="597">
        <f>('Pivot Table for Data Exchange'!$J$210)*100</f>
        <v>23.027092496192125</v>
      </c>
      <c r="N15" s="597">
        <f>('Pivot Table for Data Exchange'!$J$213)*100</f>
        <v>1.6014485218104075</v>
      </c>
      <c r="O15" s="599">
        <f>('Pivot Table for Data Exchange'!$J$216)*100</f>
        <v>0.11316576643809222</v>
      </c>
      <c r="P15" s="597">
        <f>('Pivot Table for Data Exchange'!$J$219)*100</f>
        <v>0</v>
      </c>
      <c r="Q15" s="135">
        <f t="shared" si="3"/>
        <v>100.00000000000001</v>
      </c>
      <c r="R15" s="135">
        <f t="shared" si="2"/>
        <v>99.999999999999986</v>
      </c>
      <c r="S15" s="100"/>
      <c r="T15" s="85"/>
      <c r="U15" s="85"/>
      <c r="V15" s="85"/>
      <c r="W15" s="85"/>
      <c r="X15" s="85"/>
      <c r="Y15" s="85"/>
      <c r="Z15" s="85"/>
      <c r="AA15" s="85"/>
      <c r="AB15" s="85"/>
      <c r="AC15" s="85"/>
      <c r="AD15" s="85"/>
      <c r="AE15" s="85"/>
      <c r="AF15" s="85"/>
      <c r="AG15" s="100"/>
      <c r="AH15" s="100"/>
      <c r="AI15" s="100"/>
      <c r="AJ15" s="100"/>
      <c r="AK15" s="100"/>
      <c r="AL15" s="100"/>
      <c r="AM15" s="100"/>
      <c r="AN15" s="100"/>
      <c r="AO15" s="100"/>
    </row>
    <row r="16" spans="1:41" ht="15.75" customHeight="1">
      <c r="A16" s="102" t="s">
        <v>181</v>
      </c>
      <c r="B16" s="597">
        <f>('Pivot Table for Data Exchange'!$J$222)*100</f>
        <v>0</v>
      </c>
      <c r="C16" s="597">
        <f>('Pivot Table for Data Exchange'!$J$225)*100</f>
        <v>0</v>
      </c>
      <c r="D16" s="603">
        <f t="shared" si="0"/>
        <v>0</v>
      </c>
      <c r="E16" s="597">
        <f>('Pivot Table for Data Exchange'!$J$228)*100</f>
        <v>0</v>
      </c>
      <c r="F16" s="597">
        <f>('Pivot Table for Data Exchange'!$J$231)*100</f>
        <v>0</v>
      </c>
      <c r="G16" s="599">
        <f>('Pivot Table for Data Exchange'!$J$234)*100</f>
        <v>0</v>
      </c>
      <c r="H16" s="597">
        <f>('Pivot Table for Data Exchange'!$J$237)*100</f>
        <v>0</v>
      </c>
      <c r="I16" s="125" t="s">
        <v>181</v>
      </c>
      <c r="J16" s="597">
        <f>('Pivot Table for Data Exchange'!$J$240)*100</f>
        <v>0</v>
      </c>
      <c r="K16" s="597">
        <f>('Pivot Table for Data Exchange'!$J$243)*100</f>
        <v>0</v>
      </c>
      <c r="L16" s="603">
        <f t="shared" si="1"/>
        <v>0</v>
      </c>
      <c r="M16" s="597">
        <f>('Pivot Table for Data Exchange'!$J$246)*100</f>
        <v>0</v>
      </c>
      <c r="N16" s="597">
        <f>('Pivot Table for Data Exchange'!$J$249)*100</f>
        <v>0</v>
      </c>
      <c r="O16" s="599">
        <f>('Pivot Table for Data Exchange'!$J$252)*100</f>
        <v>0</v>
      </c>
      <c r="P16" s="597">
        <f>('Pivot Table for Data Exchange'!$J$255)*100</f>
        <v>0</v>
      </c>
      <c r="Q16" s="135">
        <f t="shared" si="3"/>
        <v>0</v>
      </c>
      <c r="R16" s="135">
        <f t="shared" si="2"/>
        <v>0</v>
      </c>
      <c r="S16" s="100"/>
      <c r="T16" s="85"/>
      <c r="U16" s="85"/>
      <c r="V16" s="85"/>
      <c r="W16" s="85"/>
      <c r="X16" s="85"/>
      <c r="Y16" s="85"/>
      <c r="Z16" s="85"/>
      <c r="AA16" s="85"/>
      <c r="AB16" s="85"/>
      <c r="AC16" s="85"/>
      <c r="AD16" s="85"/>
      <c r="AE16" s="85"/>
      <c r="AF16" s="85"/>
      <c r="AG16" s="100"/>
      <c r="AH16" s="100"/>
      <c r="AI16" s="100"/>
      <c r="AJ16" s="100"/>
      <c r="AK16" s="100"/>
      <c r="AL16" s="100"/>
      <c r="AM16" s="100"/>
      <c r="AN16" s="100"/>
      <c r="AO16" s="100"/>
    </row>
    <row r="17" spans="1:41" ht="15.75" customHeight="1">
      <c r="A17" s="102" t="s">
        <v>218</v>
      </c>
      <c r="B17" s="597">
        <f>('Pivot Table for Data Exchange'!$J$258)*100</f>
        <v>80.752353136494378</v>
      </c>
      <c r="C17" s="597">
        <f>('Pivot Table for Data Exchange'!$J$261)*100</f>
        <v>3.233687625392327</v>
      </c>
      <c r="D17" s="603">
        <f t="shared" si="0"/>
        <v>16.013959238113291</v>
      </c>
      <c r="E17" s="597">
        <f>('Pivot Table for Data Exchange'!$J$264)*100</f>
        <v>15.968058071909955</v>
      </c>
      <c r="F17" s="104">
        <f>('Pivot Table for Data Exchange'!$J$267)*100</f>
        <v>4.5901166203334572E-2</v>
      </c>
      <c r="G17" s="599">
        <f>('Pivot Table for Data Exchange'!$J$270)*100</f>
        <v>0</v>
      </c>
      <c r="H17" s="597">
        <f>('Pivot Table for Data Exchange'!$J$273)*100</f>
        <v>0</v>
      </c>
      <c r="I17" s="125" t="s">
        <v>218</v>
      </c>
      <c r="J17" s="597">
        <f>('Pivot Table for Data Exchange'!$J$276)*100</f>
        <v>44.578250664702075</v>
      </c>
      <c r="K17" s="597">
        <f>('Pivot Table for Data Exchange'!$J$279)*100</f>
        <v>9.6447523561701196</v>
      </c>
      <c r="L17" s="603">
        <f t="shared" si="1"/>
        <v>45.776996979127794</v>
      </c>
      <c r="M17" s="597">
        <f>('Pivot Table for Data Exchange'!$J$282)*100</f>
        <v>45.292618461795172</v>
      </c>
      <c r="N17" s="597">
        <f>('Pivot Table for Data Exchange'!$J$285)*100</f>
        <v>0.4736740197120175</v>
      </c>
      <c r="O17" s="105">
        <f>('Pivot Table for Data Exchange'!$J$288)*100</f>
        <v>1.0704497620610565E-2</v>
      </c>
      <c r="P17" s="597">
        <f>('Pivot Table for Data Exchange'!$J$291)*100</f>
        <v>0</v>
      </c>
      <c r="Q17" s="135">
        <f t="shared" si="3"/>
        <v>99.999999999999986</v>
      </c>
      <c r="R17" s="135">
        <f>SUM(J17,K17,L17,P17)</f>
        <v>100</v>
      </c>
      <c r="S17" s="100"/>
      <c r="T17" s="85"/>
      <c r="U17" s="85"/>
      <c r="V17" s="85"/>
      <c r="W17" s="85"/>
      <c r="X17" s="85"/>
      <c r="Y17" s="85"/>
      <c r="Z17" s="85"/>
      <c r="AA17" s="85"/>
      <c r="AB17" s="85"/>
      <c r="AC17" s="85"/>
      <c r="AD17" s="85"/>
      <c r="AE17" s="85"/>
      <c r="AF17" s="85"/>
      <c r="AG17" s="100"/>
      <c r="AH17" s="100"/>
      <c r="AI17" s="100"/>
      <c r="AJ17" s="100"/>
      <c r="AK17" s="100"/>
      <c r="AL17" s="100"/>
      <c r="AM17" s="100"/>
      <c r="AN17" s="100"/>
      <c r="AO17" s="100"/>
    </row>
    <row r="18" spans="1:41" ht="11.25" customHeight="1">
      <c r="A18" s="102"/>
      <c r="B18" s="597"/>
      <c r="C18" s="597"/>
      <c r="D18" s="603"/>
      <c r="E18" s="597"/>
      <c r="F18" s="597"/>
      <c r="G18" s="599"/>
      <c r="H18" s="597"/>
      <c r="I18" s="125"/>
      <c r="J18" s="597"/>
      <c r="K18" s="597"/>
      <c r="L18" s="603"/>
      <c r="M18" s="597"/>
      <c r="N18" s="597"/>
      <c r="O18" s="599"/>
      <c r="P18" s="597"/>
      <c r="Q18" s="135">
        <f t="shared" si="3"/>
        <v>0</v>
      </c>
      <c r="R18" s="135">
        <f t="shared" si="2"/>
        <v>0</v>
      </c>
      <c r="S18" s="100"/>
      <c r="T18" s="85"/>
      <c r="U18" s="85"/>
      <c r="V18" s="85"/>
      <c r="W18" s="85"/>
      <c r="X18" s="85"/>
      <c r="Y18" s="85"/>
      <c r="Z18" s="85"/>
      <c r="AA18" s="85"/>
      <c r="AB18" s="85"/>
      <c r="AC18" s="85"/>
      <c r="AD18" s="85"/>
      <c r="AE18" s="85"/>
      <c r="AF18" s="85"/>
      <c r="AG18" s="100"/>
      <c r="AH18" s="100"/>
      <c r="AI18" s="100"/>
      <c r="AJ18" s="100"/>
      <c r="AK18" s="100"/>
      <c r="AL18" s="100"/>
      <c r="AM18" s="100"/>
      <c r="AN18" s="100"/>
      <c r="AO18" s="100"/>
    </row>
    <row r="19" spans="1:41" ht="15.75" customHeight="1">
      <c r="A19" s="102" t="s">
        <v>183</v>
      </c>
      <c r="B19" s="597">
        <f>('Pivot Table for Data Exchange'!$J$294)*100</f>
        <v>86.695414333028069</v>
      </c>
      <c r="C19" s="597">
        <f>('Pivot Table for Data Exchange'!$J$297)*100</f>
        <v>5.5232949673175549</v>
      </c>
      <c r="D19" s="603">
        <f t="shared" si="0"/>
        <v>7.71698428696123</v>
      </c>
      <c r="E19" s="597">
        <f>('Pivot Table for Data Exchange'!$J$300)*100</f>
        <v>6.983964815556261</v>
      </c>
      <c r="F19" s="597">
        <f>('Pivot Table for Data Exchange'!$J$303)*100</f>
        <v>0.53641856847666514</v>
      </c>
      <c r="G19" s="599">
        <f>('Pivot Table for Data Exchange'!$J$306)*100</f>
        <v>0.19660090292830415</v>
      </c>
      <c r="H19" s="597">
        <f>('Pivot Table for Data Exchange'!$J$309)*100</f>
        <v>6.4306412693153181E-2</v>
      </c>
      <c r="I19" s="125" t="s">
        <v>183</v>
      </c>
      <c r="J19" s="597">
        <f>('Pivot Table for Data Exchange'!$J$312)*100</f>
        <v>71.827225305630421</v>
      </c>
      <c r="K19" s="597">
        <f>('Pivot Table for Data Exchange'!$J$315)*100</f>
        <v>8.5444982595703998</v>
      </c>
      <c r="L19" s="603">
        <f t="shared" si="1"/>
        <v>19.627098479062816</v>
      </c>
      <c r="M19" s="597">
        <f>('Pivot Table for Data Exchange'!$J$318)*100</f>
        <v>18.898729182086434</v>
      </c>
      <c r="N19" s="597">
        <f>('Pivot Table for Data Exchange'!$J$321)*100</f>
        <v>0.64120057248648787</v>
      </c>
      <c r="O19" s="599">
        <f>('Pivot Table for Data Exchange'!$J$324)*100</f>
        <v>8.7168724489896085E-2</v>
      </c>
      <c r="P19" s="98">
        <f>('Pivot Table for Data Exchange'!$J$327)*100</f>
        <v>1.177955736349947E-3</v>
      </c>
      <c r="Q19" s="135">
        <f t="shared" si="3"/>
        <v>100.00000000000001</v>
      </c>
      <c r="R19" s="135">
        <f t="shared" si="2"/>
        <v>100</v>
      </c>
      <c r="S19" s="100"/>
      <c r="T19" s="85"/>
      <c r="U19" s="85"/>
      <c r="V19" s="85"/>
      <c r="W19" s="85"/>
      <c r="X19" s="85"/>
      <c r="Y19" s="85"/>
      <c r="Z19" s="85"/>
      <c r="AA19" s="85"/>
      <c r="AB19" s="85"/>
      <c r="AC19" s="85"/>
      <c r="AD19" s="85"/>
      <c r="AE19" s="85"/>
      <c r="AF19" s="85"/>
      <c r="AG19" s="100"/>
      <c r="AH19" s="100"/>
      <c r="AI19" s="100"/>
      <c r="AJ19" s="100"/>
      <c r="AK19" s="100"/>
      <c r="AL19" s="100"/>
      <c r="AM19" s="100"/>
      <c r="AN19" s="100"/>
      <c r="AO19" s="100"/>
    </row>
    <row r="20" spans="1:41" ht="15.75" customHeight="1">
      <c r="A20" s="102" t="s">
        <v>184</v>
      </c>
      <c r="B20" s="597">
        <f>('Pivot Table for Data Exchange'!$J$330)*100</f>
        <v>90.191173612345906</v>
      </c>
      <c r="C20" s="597">
        <f>('Pivot Table for Data Exchange'!$J$333)*100</f>
        <v>1.2606789780473573</v>
      </c>
      <c r="D20" s="603">
        <f t="shared" si="0"/>
        <v>8.5481474096067345</v>
      </c>
      <c r="E20" s="597">
        <f>('Pivot Table for Data Exchange'!$J$336)*100</f>
        <v>8.5155521684312152</v>
      </c>
      <c r="F20" s="104">
        <f>('Pivot Table for Data Exchange'!$J$339)*100</f>
        <v>2.357352426811574E-2</v>
      </c>
      <c r="G20" s="105">
        <f>('Pivot Table for Data Exchange'!$J$342)*100</f>
        <v>9.0217169074038837E-3</v>
      </c>
      <c r="H20" s="597">
        <f>('Pivot Table for Data Exchange'!$J$345)*100</f>
        <v>0</v>
      </c>
      <c r="I20" s="125" t="s">
        <v>184</v>
      </c>
      <c r="J20" s="597">
        <f>('Pivot Table for Data Exchange'!$J$348)*100</f>
        <v>74.480494925586726</v>
      </c>
      <c r="K20" s="597">
        <f>('Pivot Table for Data Exchange'!$J$351)*100</f>
        <v>7.1015048172230841</v>
      </c>
      <c r="L20" s="603">
        <f t="shared" si="1"/>
        <v>18.418000257190183</v>
      </c>
      <c r="M20" s="597">
        <f>('Pivot Table for Data Exchange'!$J$354)*100</f>
        <v>18.174306191280742</v>
      </c>
      <c r="N20" s="597">
        <f>('Pivot Table for Data Exchange'!$J$357)*100</f>
        <v>0.18257956662180694</v>
      </c>
      <c r="O20" s="599">
        <f>('Pivot Table for Data Exchange'!$J$360)*100</f>
        <v>6.1114499287634114E-2</v>
      </c>
      <c r="P20" s="597">
        <f>('Pivot Table for Data Exchange'!$J$363)*100</f>
        <v>0</v>
      </c>
      <c r="Q20" s="135">
        <f t="shared" si="3"/>
        <v>100</v>
      </c>
      <c r="R20" s="135">
        <f t="shared" si="2"/>
        <v>100</v>
      </c>
      <c r="S20" s="100"/>
      <c r="T20" s="85"/>
      <c r="U20" s="85"/>
      <c r="V20" s="85"/>
      <c r="W20" s="85"/>
      <c r="X20" s="85"/>
      <c r="Y20" s="85"/>
      <c r="Z20" s="85"/>
      <c r="AA20" s="85"/>
      <c r="AB20" s="85"/>
      <c r="AC20" s="85"/>
      <c r="AD20" s="85"/>
      <c r="AE20" s="85"/>
      <c r="AF20" s="85"/>
      <c r="AG20" s="100"/>
      <c r="AH20" s="100"/>
      <c r="AI20" s="100"/>
      <c r="AJ20" s="100"/>
      <c r="AK20" s="100"/>
      <c r="AL20" s="100"/>
      <c r="AM20" s="100"/>
      <c r="AN20" s="100"/>
      <c r="AO20" s="100"/>
    </row>
    <row r="21" spans="1:41" ht="15.75" customHeight="1">
      <c r="A21" s="102" t="s">
        <v>185</v>
      </c>
      <c r="B21" s="597">
        <f>('Pivot Table for Data Exchange'!$J$366)*100</f>
        <v>87.024730898230104</v>
      </c>
      <c r="C21" s="597">
        <f>('Pivot Table for Data Exchange'!$J$369)*100</f>
        <v>0.6201357795984942</v>
      </c>
      <c r="D21" s="603">
        <f t="shared" si="0"/>
        <v>12.355133322171392</v>
      </c>
      <c r="E21" s="597">
        <f>('Pivot Table for Data Exchange'!$J$372)*100</f>
        <v>10.017715078880709</v>
      </c>
      <c r="F21" s="597">
        <f>('Pivot Table for Data Exchange'!$J$375)*100</f>
        <v>1.6619768515768039</v>
      </c>
      <c r="G21" s="599">
        <f>('Pivot Table for Data Exchange'!$J$378)*100</f>
        <v>0.67544139171387985</v>
      </c>
      <c r="H21" s="597">
        <f>('Pivot Table for Data Exchange'!$J$381)*100</f>
        <v>0</v>
      </c>
      <c r="I21" s="125" t="s">
        <v>185</v>
      </c>
      <c r="J21" s="597">
        <f>('Pivot Table for Data Exchange'!$J$384)*100</f>
        <v>72.545757071547428</v>
      </c>
      <c r="K21" s="597">
        <f>('Pivot Table for Data Exchange'!$J$387)*100</f>
        <v>7.8517228767327936</v>
      </c>
      <c r="L21" s="603">
        <f t="shared" si="1"/>
        <v>19.593762717452336</v>
      </c>
      <c r="M21" s="597">
        <f>('Pivot Table for Data Exchange'!$J$390)*100</f>
        <v>13.496597518068439</v>
      </c>
      <c r="N21" s="597">
        <f>('Pivot Table for Data Exchange'!$J$393)*100</f>
        <v>4.3982423514987916</v>
      </c>
      <c r="O21" s="599">
        <f>('Pivot Table for Data Exchange'!$J$396)*100</f>
        <v>1.6989228478851037</v>
      </c>
      <c r="P21" s="104">
        <f>('Pivot Table for Data Exchange'!$J$399)*100</f>
        <v>8.7573342674489886E-3</v>
      </c>
      <c r="Q21" s="135">
        <f t="shared" si="3"/>
        <v>100</v>
      </c>
      <c r="R21" s="135">
        <f t="shared" si="2"/>
        <v>100</v>
      </c>
      <c r="S21" s="100"/>
      <c r="T21" s="85"/>
      <c r="U21" s="85"/>
      <c r="V21" s="85"/>
      <c r="W21" s="85"/>
      <c r="X21" s="85"/>
      <c r="Y21" s="85"/>
      <c r="Z21" s="85"/>
      <c r="AA21" s="85"/>
      <c r="AB21" s="85"/>
      <c r="AC21" s="85"/>
      <c r="AD21" s="85"/>
      <c r="AE21" s="85"/>
      <c r="AF21" s="85"/>
      <c r="AG21" s="100"/>
      <c r="AH21" s="100"/>
      <c r="AI21" s="100"/>
      <c r="AJ21" s="100"/>
      <c r="AK21" s="100"/>
      <c r="AL21" s="100"/>
      <c r="AM21" s="100"/>
      <c r="AN21" s="100"/>
      <c r="AO21" s="100"/>
    </row>
    <row r="22" spans="1:41" ht="15.75" customHeight="1">
      <c r="A22" s="102" t="s">
        <v>186</v>
      </c>
      <c r="B22" s="597">
        <f>('Pivot Table for Data Exchange'!$J$402)*100</f>
        <v>94.904716340502191</v>
      </c>
      <c r="C22" s="597">
        <f>('Pivot Table for Data Exchange'!$J$405)*100</f>
        <v>2.036177279749217</v>
      </c>
      <c r="D22" s="603">
        <f>SUM(E22:G22)</f>
        <v>3.0591063797486018</v>
      </c>
      <c r="E22" s="597">
        <f>('Pivot Table for Data Exchange'!$J$408)*100</f>
        <v>2.8457847540072176</v>
      </c>
      <c r="F22" s="597">
        <f>('Pivot Table for Data Exchange'!$J$411)*100</f>
        <v>0.15005139167844606</v>
      </c>
      <c r="G22" s="599">
        <f>('Pivot Table for Data Exchange'!$J$414)*100</f>
        <v>6.3270234062937886E-2</v>
      </c>
      <c r="H22" s="597">
        <f>('Pivot Table for Data Exchange'!$J$417)*100</f>
        <v>0</v>
      </c>
      <c r="I22" s="125" t="s">
        <v>186</v>
      </c>
      <c r="J22" s="597">
        <f>('Pivot Table for Data Exchange'!$J$420)*100</f>
        <v>71.952530294329847</v>
      </c>
      <c r="K22" s="597">
        <f>('Pivot Table for Data Exchange'!$J$423)*100</f>
        <v>12.262393804202187</v>
      </c>
      <c r="L22" s="603">
        <f>SUM(M22:O22)</f>
        <v>15.78507590146797</v>
      </c>
      <c r="M22" s="597">
        <f>('Pivot Table for Data Exchange'!$J$426)*100</f>
        <v>14.70765787652576</v>
      </c>
      <c r="N22" s="597">
        <f>('Pivot Table for Data Exchange'!$J$429)*100</f>
        <v>0.17779053845134501</v>
      </c>
      <c r="O22" s="599">
        <f>('Pivot Table for Data Exchange'!$J$432)*100</f>
        <v>0.89962748649086377</v>
      </c>
      <c r="P22" s="597">
        <f>('Pivot Table for Data Exchange'!$J$435)*100</f>
        <v>0</v>
      </c>
      <c r="Q22" s="135">
        <f t="shared" si="3"/>
        <v>100</v>
      </c>
      <c r="R22" s="135">
        <f t="shared" si="2"/>
        <v>100</v>
      </c>
      <c r="S22" s="100"/>
      <c r="T22" s="85"/>
      <c r="U22" s="85"/>
      <c r="V22" s="85"/>
      <c r="W22" s="85"/>
      <c r="X22" s="85"/>
      <c r="Y22" s="85"/>
      <c r="Z22" s="85"/>
      <c r="AA22" s="85"/>
      <c r="AB22" s="85"/>
      <c r="AC22" s="85"/>
      <c r="AD22" s="85"/>
      <c r="AE22" s="85"/>
      <c r="AF22" s="85"/>
      <c r="AG22" s="100"/>
      <c r="AH22" s="100"/>
      <c r="AI22" s="100"/>
      <c r="AJ22" s="100"/>
      <c r="AK22" s="100"/>
      <c r="AL22" s="100"/>
      <c r="AM22" s="100"/>
      <c r="AN22" s="100"/>
      <c r="AO22" s="100"/>
    </row>
    <row r="23" spans="1:41" ht="9.75" customHeight="1">
      <c r="A23" s="102"/>
      <c r="B23" s="597"/>
      <c r="C23" s="597"/>
      <c r="D23" s="603"/>
      <c r="E23" s="597"/>
      <c r="F23" s="597"/>
      <c r="G23" s="599"/>
      <c r="H23" s="597"/>
      <c r="I23" s="125"/>
      <c r="J23" s="597"/>
      <c r="K23" s="597"/>
      <c r="L23" s="603"/>
      <c r="M23" s="597"/>
      <c r="N23" s="597"/>
      <c r="O23" s="599"/>
      <c r="P23" s="597"/>
      <c r="Q23" s="135">
        <f t="shared" si="3"/>
        <v>0</v>
      </c>
      <c r="R23" s="135">
        <f t="shared" si="2"/>
        <v>0</v>
      </c>
      <c r="S23" s="100"/>
      <c r="T23" s="85"/>
      <c r="U23" s="85"/>
      <c r="V23" s="85"/>
      <c r="W23" s="85"/>
      <c r="X23" s="85"/>
      <c r="Y23" s="85"/>
      <c r="Z23" s="85"/>
      <c r="AA23" s="85"/>
      <c r="AB23" s="85"/>
      <c r="AC23" s="85"/>
      <c r="AD23" s="85"/>
      <c r="AE23" s="85"/>
      <c r="AF23" s="85"/>
      <c r="AG23" s="100"/>
      <c r="AH23" s="100"/>
      <c r="AI23" s="100"/>
      <c r="AJ23" s="100"/>
      <c r="AK23" s="100"/>
      <c r="AL23" s="100"/>
      <c r="AM23" s="100"/>
      <c r="AN23" s="100"/>
      <c r="AO23" s="100"/>
    </row>
    <row r="24" spans="1:41" ht="15.75" customHeight="1">
      <c r="A24" s="102" t="s">
        <v>187</v>
      </c>
      <c r="B24" s="597">
        <f>('Pivot Table for Data Exchange'!$J$438)*100</f>
        <v>84.094494943662667</v>
      </c>
      <c r="C24" s="597">
        <f>('Pivot Table for Data Exchange'!$J$441)*100</f>
        <v>2.4494448752000264</v>
      </c>
      <c r="D24" s="603">
        <f>SUM(E24:G24)</f>
        <v>12.94042925251992</v>
      </c>
      <c r="E24" s="597">
        <f>('Pivot Table for Data Exchange'!$J$444)*100</f>
        <v>7.6609861919923459</v>
      </c>
      <c r="F24" s="597">
        <f>('Pivot Table for Data Exchange'!$J$447)*100</f>
        <v>0.56423115627629206</v>
      </c>
      <c r="G24" s="599">
        <f>('Pivot Table for Data Exchange'!$J$450)*100</f>
        <v>4.7152119042512828</v>
      </c>
      <c r="H24" s="597">
        <f>('Pivot Table for Data Exchange'!$J$453)*100</f>
        <v>0.51563092861738458</v>
      </c>
      <c r="I24" s="125" t="s">
        <v>187</v>
      </c>
      <c r="J24" s="597">
        <f>('Pivot Table for Data Exchange'!$J$456)*100</f>
        <v>71.835320231259587</v>
      </c>
      <c r="K24" s="597">
        <f>('Pivot Table for Data Exchange'!$J$459)*100</f>
        <v>6.2207248737539151</v>
      </c>
      <c r="L24" s="603">
        <f>SUM(M24:O24)</f>
        <v>17.438644278945144</v>
      </c>
      <c r="M24" s="597">
        <f>('Pivot Table for Data Exchange'!$J$462)*100</f>
        <v>12.614474240360682</v>
      </c>
      <c r="N24" s="597">
        <f>('Pivot Table for Data Exchange'!$J$465)*100</f>
        <v>0.37719339441921856</v>
      </c>
      <c r="O24" s="599">
        <f>('Pivot Table for Data Exchange'!$J$468)*100</f>
        <v>4.4469766441652432</v>
      </c>
      <c r="P24" s="597">
        <f>('Pivot Table for Data Exchange'!$J$471)*100</f>
        <v>4.5053106160413474</v>
      </c>
      <c r="Q24" s="135">
        <f t="shared" si="3"/>
        <v>100</v>
      </c>
      <c r="R24" s="135">
        <f t="shared" si="2"/>
        <v>99.999999999999986</v>
      </c>
      <c r="S24" s="100"/>
      <c r="T24" s="85"/>
      <c r="U24" s="85"/>
      <c r="V24" s="85"/>
      <c r="W24" s="85"/>
      <c r="X24" s="85"/>
      <c r="Y24" s="85"/>
      <c r="Z24" s="85"/>
      <c r="AA24" s="85"/>
      <c r="AB24" s="85"/>
      <c r="AC24" s="85"/>
      <c r="AD24" s="85"/>
      <c r="AE24" s="85"/>
      <c r="AF24" s="85"/>
      <c r="AG24" s="100"/>
      <c r="AH24" s="100"/>
      <c r="AI24" s="100"/>
      <c r="AJ24" s="100"/>
      <c r="AK24" s="100"/>
      <c r="AL24" s="100"/>
      <c r="AM24" s="100"/>
      <c r="AN24" s="100"/>
      <c r="AO24" s="100"/>
    </row>
    <row r="25" spans="1:41" ht="15.75" customHeight="1">
      <c r="A25" s="102" t="s">
        <v>188</v>
      </c>
      <c r="B25" s="597">
        <f>('Pivot Table for Data Exchange'!$J$474)*100</f>
        <v>90.473454222305477</v>
      </c>
      <c r="C25" s="597">
        <f>('Pivot Table for Data Exchange'!$J$477)*100</f>
        <v>1.5965175900278394</v>
      </c>
      <c r="D25" s="603">
        <f>SUM(E25:G25)</f>
        <v>7.9300281876666876</v>
      </c>
      <c r="E25" s="597">
        <f>('Pivot Table for Data Exchange'!$J$480)*100</f>
        <v>7.3595420294518714</v>
      </c>
      <c r="F25" s="597">
        <f>('Pivot Table for Data Exchange'!$J$483)*100</f>
        <v>0.22471598914621319</v>
      </c>
      <c r="G25" s="599">
        <f>('Pivot Table for Data Exchange'!$J$486)*100</f>
        <v>0.34577016906860258</v>
      </c>
      <c r="H25" s="597">
        <f>('Pivot Table for Data Exchange'!$J$489)*100</f>
        <v>0</v>
      </c>
      <c r="I25" s="125" t="s">
        <v>188</v>
      </c>
      <c r="J25" s="597">
        <f>('Pivot Table for Data Exchange'!$J$492)*100</f>
        <v>74.060360286724659</v>
      </c>
      <c r="K25" s="597">
        <f>('Pivot Table for Data Exchange'!$J$495)*100</f>
        <v>4.5356874508232154</v>
      </c>
      <c r="L25" s="603">
        <f>SUM(M25:O25)</f>
        <v>21.40395226245213</v>
      </c>
      <c r="M25" s="597">
        <f>('Pivot Table for Data Exchange'!$J$498)*100</f>
        <v>18.399921612575078</v>
      </c>
      <c r="N25" s="597">
        <f>('Pivot Table for Data Exchange'!$J$501)*100</f>
        <v>0.2687428173582847</v>
      </c>
      <c r="O25" s="599">
        <f>('Pivot Table for Data Exchange'!$J$504)*100</f>
        <v>2.7352878325187673</v>
      </c>
      <c r="P25" s="597">
        <f>('Pivot Table for Data Exchange'!$J$507)*100</f>
        <v>0</v>
      </c>
      <c r="Q25" s="135">
        <f t="shared" si="3"/>
        <v>100.00000000000001</v>
      </c>
      <c r="R25" s="135">
        <f t="shared" si="2"/>
        <v>100</v>
      </c>
      <c r="S25" s="100"/>
      <c r="T25" s="85"/>
      <c r="U25" s="85"/>
      <c r="V25" s="85"/>
      <c r="W25" s="85"/>
      <c r="X25" s="85"/>
      <c r="Y25" s="85"/>
      <c r="Z25" s="85"/>
      <c r="AA25" s="85"/>
      <c r="AB25" s="85"/>
      <c r="AC25" s="85"/>
      <c r="AD25" s="85"/>
      <c r="AE25" s="85"/>
      <c r="AF25" s="85"/>
      <c r="AG25" s="100"/>
      <c r="AH25" s="100"/>
      <c r="AI25" s="100"/>
      <c r="AJ25" s="100"/>
      <c r="AK25" s="100"/>
      <c r="AL25" s="100"/>
      <c r="AM25" s="100"/>
      <c r="AN25" s="100"/>
      <c r="AO25" s="100"/>
    </row>
    <row r="26" spans="1:41" ht="15.75" customHeight="1">
      <c r="A26" s="102" t="s">
        <v>189</v>
      </c>
      <c r="B26" s="597">
        <f>('Pivot Table for Data Exchange'!$J$510)*100</f>
        <v>95.187980927339538</v>
      </c>
      <c r="C26" s="597">
        <f>('Pivot Table for Data Exchange'!$J$513)*100</f>
        <v>1.7559924076971396</v>
      </c>
      <c r="D26" s="603">
        <f t="shared" si="0"/>
        <v>3.0560266649633219</v>
      </c>
      <c r="E26" s="597">
        <f>('Pivot Table for Data Exchange'!$J$516)*100</f>
        <v>2.2381223538809865</v>
      </c>
      <c r="F26" s="597">
        <f>('Pivot Table for Data Exchange'!$J$519)*100</f>
        <v>0.81790431108233541</v>
      </c>
      <c r="G26" s="599">
        <f>('Pivot Table for Data Exchange'!$J$522)*100</f>
        <v>0</v>
      </c>
      <c r="H26" s="597">
        <f>('Pivot Table for Data Exchange'!$J$525)*100</f>
        <v>0</v>
      </c>
      <c r="I26" s="125" t="s">
        <v>189</v>
      </c>
      <c r="J26" s="597">
        <f>('Pivot Table for Data Exchange'!$J$528)*100</f>
        <v>80.994490923504685</v>
      </c>
      <c r="K26" s="597">
        <f>('Pivot Table for Data Exchange'!$J$531)*100</f>
        <v>10.975854586492874</v>
      </c>
      <c r="L26" s="603">
        <f t="shared" si="1"/>
        <v>8.0296544900024376</v>
      </c>
      <c r="M26" s="597">
        <f>('Pivot Table for Data Exchange'!$J$534)*100</f>
        <v>5.8355365615153518</v>
      </c>
      <c r="N26" s="597">
        <f>('Pivot Table for Data Exchange'!$J$537)*100</f>
        <v>2.1941179284870862</v>
      </c>
      <c r="O26" s="599">
        <f>('Pivot Table for Data Exchange'!$J$540)*100</f>
        <v>0</v>
      </c>
      <c r="P26" s="597">
        <f>('Pivot Table for Data Exchange'!$J$543)*100</f>
        <v>0</v>
      </c>
      <c r="Q26" s="135">
        <f t="shared" si="3"/>
        <v>100</v>
      </c>
      <c r="R26" s="135">
        <f t="shared" si="2"/>
        <v>100</v>
      </c>
      <c r="S26" s="100"/>
      <c r="T26" s="85"/>
      <c r="U26" s="85"/>
      <c r="V26" s="85"/>
      <c r="W26" s="85"/>
      <c r="X26" s="85"/>
      <c r="Y26" s="85"/>
      <c r="Z26" s="85"/>
      <c r="AA26" s="85"/>
      <c r="AB26" s="85"/>
      <c r="AC26" s="85"/>
      <c r="AD26" s="85"/>
      <c r="AE26" s="85"/>
      <c r="AF26" s="85"/>
      <c r="AG26" s="100"/>
      <c r="AH26" s="100"/>
      <c r="AI26" s="100"/>
      <c r="AJ26" s="100"/>
      <c r="AK26" s="100"/>
      <c r="AL26" s="100"/>
      <c r="AM26" s="100"/>
      <c r="AN26" s="100"/>
      <c r="AO26" s="100"/>
    </row>
    <row r="27" spans="1:41" ht="15.75" customHeight="1">
      <c r="A27" s="76" t="s">
        <v>190</v>
      </c>
      <c r="B27" s="600">
        <f>('Pivot Table for Data Exchange'!$J$546)*100</f>
        <v>87.456651332354213</v>
      </c>
      <c r="C27" s="600">
        <f>('Pivot Table for Data Exchange'!$J$549)*100</f>
        <v>3.7455098741476442</v>
      </c>
      <c r="D27" s="604">
        <f>SUM(E27:G27)</f>
        <v>8.7978387934981459</v>
      </c>
      <c r="E27" s="600">
        <f>('Pivot Table for Data Exchange'!$J$552)*100</f>
        <v>8.3907296450380855</v>
      </c>
      <c r="F27" s="600">
        <f>('Pivot Table for Data Exchange'!$J$555)*100</f>
        <v>0.21802339985689737</v>
      </c>
      <c r="G27" s="601">
        <f>('Pivot Table for Data Exchange'!$J$558)*100</f>
        <v>0.18908574860316371</v>
      </c>
      <c r="H27" s="600">
        <f>('Pivot Table for Data Exchange'!$J$561)*100</f>
        <v>0</v>
      </c>
      <c r="I27" s="619" t="s">
        <v>190</v>
      </c>
      <c r="J27" s="600">
        <f>('Pivot Table for Data Exchange'!$J$564)*100</f>
        <v>54.101832904019375</v>
      </c>
      <c r="K27" s="600">
        <f>('Pivot Table for Data Exchange'!$J$567)*100</f>
        <v>20.364374479445331</v>
      </c>
      <c r="L27" s="604">
        <f>SUM(M27:O27)</f>
        <v>25.533792616535298</v>
      </c>
      <c r="M27" s="600">
        <f>('Pivot Table for Data Exchange'!$J$570)*100</f>
        <v>23.695924367198575</v>
      </c>
      <c r="N27" s="600">
        <f>('Pivot Table for Data Exchange'!$J$573)*100</f>
        <v>1.5824861966827912</v>
      </c>
      <c r="O27" s="601">
        <f>('Pivot Table for Data Exchange'!$J$576)*100</f>
        <v>0.25538205265393249</v>
      </c>
      <c r="P27" s="600">
        <f>('Pivot Table for Data Exchange'!$J$579)*100</f>
        <v>0</v>
      </c>
      <c r="Q27" s="135">
        <f t="shared" si="3"/>
        <v>100</v>
      </c>
      <c r="R27" s="135">
        <f t="shared" si="2"/>
        <v>100</v>
      </c>
      <c r="S27" s="100"/>
      <c r="T27" s="85"/>
      <c r="U27" s="85"/>
      <c r="V27" s="85"/>
      <c r="W27" s="85"/>
      <c r="X27" s="85"/>
      <c r="Y27" s="85"/>
      <c r="Z27" s="85"/>
      <c r="AA27" s="85"/>
      <c r="AB27" s="85"/>
      <c r="AC27" s="85"/>
      <c r="AD27" s="85"/>
      <c r="AE27" s="85"/>
      <c r="AF27" s="85"/>
      <c r="AG27" s="100"/>
      <c r="AH27" s="100"/>
      <c r="AI27" s="100"/>
      <c r="AJ27" s="100"/>
      <c r="AK27" s="100"/>
      <c r="AL27" s="100"/>
      <c r="AM27" s="100"/>
      <c r="AN27" s="100"/>
      <c r="AO27" s="100"/>
    </row>
    <row r="28" spans="1:41" s="45" customFormat="1" ht="18" customHeight="1">
      <c r="A28" s="43" t="s">
        <v>219</v>
      </c>
      <c r="B28" s="106"/>
      <c r="C28" s="106"/>
      <c r="D28" s="107"/>
      <c r="E28" s="106"/>
      <c r="F28" s="107"/>
      <c r="G28" s="107"/>
      <c r="H28" s="106"/>
      <c r="I28" s="43" t="s">
        <v>219</v>
      </c>
      <c r="J28" s="106"/>
      <c r="K28" s="106"/>
      <c r="L28" s="107"/>
      <c r="M28" s="106"/>
      <c r="N28" s="107"/>
      <c r="O28" s="107"/>
      <c r="P28" s="106"/>
      <c r="Q28" s="135"/>
      <c r="R28" s="135"/>
      <c r="S28" s="108"/>
      <c r="T28" s="85"/>
      <c r="U28" s="85"/>
      <c r="V28" s="85"/>
      <c r="W28" s="85"/>
      <c r="X28" s="85"/>
      <c r="Y28" s="85"/>
      <c r="Z28" s="85"/>
      <c r="AA28" s="85"/>
      <c r="AB28" s="85"/>
      <c r="AC28" s="85"/>
      <c r="AD28" s="85"/>
      <c r="AE28" s="85"/>
      <c r="AF28" s="85"/>
      <c r="AG28" s="108"/>
      <c r="AH28" s="108"/>
      <c r="AI28" s="108"/>
      <c r="AJ28" s="108"/>
      <c r="AK28" s="108"/>
      <c r="AL28" s="108"/>
      <c r="AM28" s="108"/>
      <c r="AN28" s="108"/>
      <c r="AO28" s="108"/>
    </row>
    <row r="29" spans="1:41" s="45" customFormat="1" ht="24.75" customHeight="1">
      <c r="A29" s="658" t="s">
        <v>220</v>
      </c>
      <c r="B29" s="663"/>
      <c r="C29" s="663"/>
      <c r="D29" s="663"/>
      <c r="E29" s="663"/>
      <c r="F29" s="663"/>
      <c r="G29" s="663"/>
      <c r="H29" s="663"/>
      <c r="I29" s="658" t="s">
        <v>220</v>
      </c>
      <c r="J29" s="663"/>
      <c r="K29" s="663"/>
      <c r="L29" s="663"/>
      <c r="M29" s="663"/>
      <c r="N29" s="663"/>
      <c r="O29" s="663"/>
      <c r="P29" s="663"/>
      <c r="Q29" s="135"/>
      <c r="R29" s="135"/>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row>
    <row r="30" spans="1:41" s="45" customFormat="1" ht="13.5" customHeight="1">
      <c r="A30" s="655" t="s">
        <v>221</v>
      </c>
      <c r="B30" s="664"/>
      <c r="C30" s="664"/>
      <c r="D30" s="664"/>
      <c r="E30" s="664"/>
      <c r="F30" s="664"/>
      <c r="G30" s="664"/>
      <c r="H30" s="664"/>
      <c r="I30" s="655" t="s">
        <v>221</v>
      </c>
      <c r="J30" s="664"/>
      <c r="K30" s="664"/>
      <c r="L30" s="664"/>
      <c r="M30" s="664"/>
      <c r="N30" s="664"/>
      <c r="O30" s="664"/>
      <c r="P30" s="664"/>
      <c r="Q30" s="135"/>
      <c r="R30" s="135"/>
    </row>
    <row r="31" spans="1:41" s="45" customFormat="1" ht="13.5" customHeight="1">
      <c r="A31" s="55"/>
      <c r="B31" s="149"/>
      <c r="C31" s="149"/>
      <c r="D31" s="110"/>
      <c r="E31" s="149"/>
      <c r="F31" s="149"/>
      <c r="G31" s="149"/>
      <c r="H31" s="149"/>
      <c r="I31" s="55"/>
      <c r="J31" s="149"/>
      <c r="K31" s="149"/>
      <c r="L31" s="110"/>
      <c r="M31" s="149"/>
      <c r="N31" s="149"/>
      <c r="O31" s="149"/>
      <c r="P31" s="149"/>
      <c r="Q31" s="135"/>
      <c r="R31" s="135"/>
    </row>
    <row r="32" spans="1:41">
      <c r="H32" s="49" t="s">
        <v>900</v>
      </c>
      <c r="I32" s="50"/>
      <c r="P32" s="49" t="s">
        <v>900</v>
      </c>
      <c r="Q32" s="135"/>
      <c r="R32" s="135"/>
    </row>
    <row r="33" spans="1:41" ht="18">
      <c r="A33" s="16" t="s">
        <v>266</v>
      </c>
      <c r="B33" s="71"/>
      <c r="C33" s="71"/>
      <c r="D33" s="71"/>
      <c r="E33" s="71"/>
      <c r="F33" s="71"/>
      <c r="G33" s="71"/>
      <c r="H33" s="72"/>
      <c r="I33" s="16" t="s">
        <v>281</v>
      </c>
      <c r="J33" s="23"/>
      <c r="K33" s="23"/>
      <c r="L33" s="71"/>
      <c r="M33" s="23"/>
      <c r="N33" s="23"/>
      <c r="O33" s="23"/>
      <c r="P33" s="23"/>
      <c r="Q33" s="135"/>
      <c r="R33" s="135"/>
    </row>
    <row r="34" spans="1:41">
      <c r="A34" s="22"/>
      <c r="B34" s="23"/>
      <c r="C34" s="23"/>
      <c r="D34" s="23"/>
      <c r="E34" s="23"/>
      <c r="F34" s="23"/>
      <c r="G34" s="23"/>
      <c r="H34" s="73"/>
      <c r="I34" s="22"/>
      <c r="J34" s="23"/>
      <c r="K34" s="23"/>
      <c r="L34" s="23"/>
      <c r="M34" s="23"/>
      <c r="N34" s="23"/>
      <c r="O34" s="23"/>
      <c r="P34" s="23"/>
      <c r="Q34" s="135"/>
      <c r="R34" s="135"/>
    </row>
    <row r="35" spans="1:41" ht="15.75">
      <c r="A35" s="74" t="s">
        <v>205</v>
      </c>
      <c r="B35" s="23"/>
      <c r="C35" s="23"/>
      <c r="D35" s="23"/>
      <c r="E35" s="23"/>
      <c r="F35" s="23"/>
      <c r="G35" s="23"/>
      <c r="H35" s="73"/>
      <c r="I35" s="74" t="s">
        <v>206</v>
      </c>
      <c r="J35" s="23"/>
      <c r="K35" s="23"/>
      <c r="L35" s="23"/>
      <c r="M35" s="23"/>
      <c r="N35" s="23"/>
      <c r="O35" s="23"/>
      <c r="P35" s="23"/>
      <c r="Q35" s="135"/>
      <c r="R35" s="135"/>
    </row>
    <row r="36" spans="1:41" ht="15.75">
      <c r="A36" s="74" t="s">
        <v>896</v>
      </c>
      <c r="B36" s="23"/>
      <c r="C36" s="23"/>
      <c r="D36" s="23"/>
      <c r="E36" s="23"/>
      <c r="F36" s="23"/>
      <c r="G36" s="23"/>
      <c r="H36" s="73"/>
      <c r="I36" s="74" t="s">
        <v>260</v>
      </c>
      <c r="J36" s="23"/>
      <c r="K36" s="23"/>
      <c r="L36" s="23"/>
      <c r="M36" s="23"/>
      <c r="N36" s="23"/>
      <c r="O36" s="23"/>
      <c r="P36" s="23"/>
      <c r="Q36" s="135"/>
      <c r="R36" s="135"/>
    </row>
    <row r="37" spans="1:41">
      <c r="A37" s="76"/>
      <c r="B37" s="77"/>
      <c r="C37" s="77"/>
      <c r="D37" s="77"/>
      <c r="E37" s="77"/>
      <c r="F37" s="77"/>
      <c r="G37" s="77"/>
      <c r="H37" s="77"/>
      <c r="I37" s="78"/>
      <c r="L37" s="79"/>
      <c r="P37" s="76"/>
      <c r="Q37" s="135"/>
      <c r="R37" s="135"/>
    </row>
    <row r="38" spans="1:41" s="85" customFormat="1">
      <c r="A38" s="80"/>
      <c r="B38" s="81" t="s">
        <v>207</v>
      </c>
      <c r="C38" s="81"/>
      <c r="D38" s="81"/>
      <c r="E38" s="81"/>
      <c r="F38" s="81"/>
      <c r="G38" s="81"/>
      <c r="H38" s="82"/>
      <c r="I38" s="80"/>
      <c r="J38" s="81" t="s">
        <v>207</v>
      </c>
      <c r="K38" s="81"/>
      <c r="L38" s="81"/>
      <c r="M38" s="81"/>
      <c r="N38" s="81"/>
      <c r="O38" s="81"/>
      <c r="P38" s="82"/>
      <c r="Q38" s="135"/>
      <c r="R38" s="135"/>
    </row>
    <row r="39" spans="1:41" s="85" customFormat="1">
      <c r="A39" s="80"/>
      <c r="B39" s="81" t="s">
        <v>208</v>
      </c>
      <c r="C39" s="81"/>
      <c r="D39" s="653" t="s">
        <v>209</v>
      </c>
      <c r="E39" s="654"/>
      <c r="F39" s="654"/>
      <c r="G39" s="654"/>
      <c r="H39" s="86" t="s">
        <v>39</v>
      </c>
      <c r="I39" s="80"/>
      <c r="J39" s="81" t="s">
        <v>208</v>
      </c>
      <c r="K39" s="81"/>
      <c r="L39" s="653" t="s">
        <v>209</v>
      </c>
      <c r="M39" s="654"/>
      <c r="N39" s="654"/>
      <c r="O39" s="654"/>
      <c r="P39" s="86" t="s">
        <v>39</v>
      </c>
      <c r="Q39" s="135"/>
      <c r="R39" s="135"/>
    </row>
    <row r="40" spans="1:41" s="85" customFormat="1" ht="40.5" customHeight="1">
      <c r="A40" s="80"/>
      <c r="B40" s="87" t="s">
        <v>210</v>
      </c>
      <c r="C40" s="88" t="s">
        <v>211</v>
      </c>
      <c r="D40" s="89" t="s">
        <v>212</v>
      </c>
      <c r="E40" s="90" t="s">
        <v>7</v>
      </c>
      <c r="F40" s="87" t="s">
        <v>213</v>
      </c>
      <c r="G40" s="91" t="s">
        <v>214</v>
      </c>
      <c r="H40" s="92" t="s">
        <v>215</v>
      </c>
      <c r="I40" s="80"/>
      <c r="J40" s="87" t="s">
        <v>210</v>
      </c>
      <c r="K40" s="88" t="s">
        <v>211</v>
      </c>
      <c r="L40" s="89" t="s">
        <v>212</v>
      </c>
      <c r="M40" s="90" t="s">
        <v>7</v>
      </c>
      <c r="N40" s="87" t="s">
        <v>213</v>
      </c>
      <c r="O40" s="91" t="s">
        <v>214</v>
      </c>
      <c r="P40" s="92" t="s">
        <v>215</v>
      </c>
      <c r="Q40" s="135"/>
      <c r="R40" s="135"/>
      <c r="T40" s="111"/>
    </row>
    <row r="41" spans="1:41" ht="15.75" customHeight="1">
      <c r="A41" s="99" t="s">
        <v>175</v>
      </c>
      <c r="B41" s="597">
        <f>('Pivot Table for Data Exchange'!$C$6)*100</f>
        <v>95.605067100625774</v>
      </c>
      <c r="C41" s="597">
        <f>('Pivot Table for Data Exchange'!$C$9)*100</f>
        <v>0.1381502450053621</v>
      </c>
      <c r="D41" s="603">
        <f>SUM(E41:G41)</f>
        <v>4.2567826543688652</v>
      </c>
      <c r="E41" s="597">
        <f>('Pivot Table for Data Exchange'!$C$12)*100</f>
        <v>3.9979687203583518</v>
      </c>
      <c r="F41" s="104">
        <f>('Pivot Table for Data Exchange'!$C$15)*100</f>
        <v>3.7360575365765841E-2</v>
      </c>
      <c r="G41" s="97">
        <f>('Pivot Table for Data Exchange'!$C$18)*100</f>
        <v>0.22145335864474672</v>
      </c>
      <c r="H41" s="597">
        <f>('Pivot Table for Data Exchange'!$C$21)*100</f>
        <v>0</v>
      </c>
      <c r="I41" s="618" t="s">
        <v>175</v>
      </c>
      <c r="J41" s="597">
        <f>('Pivot Table for Data Exchange'!$C$24)*100</f>
        <v>85.943599393432251</v>
      </c>
      <c r="K41" s="597">
        <f>('Pivot Table for Data Exchange'!$C$27)*100</f>
        <v>3.1347829226541162</v>
      </c>
      <c r="L41" s="603">
        <f>SUM(M41:O41)</f>
        <v>10.921617683913636</v>
      </c>
      <c r="M41" s="597">
        <f>('Pivot Table for Data Exchange'!$C$30)*100</f>
        <v>6.4118629020953772</v>
      </c>
      <c r="N41" s="597">
        <f>('Pivot Table for Data Exchange'!$C$33)*100</f>
        <v>0.24254214753868567</v>
      </c>
      <c r="O41" s="97">
        <f>('Pivot Table for Data Exchange'!$C$36)*100</f>
        <v>4.2672126342795735</v>
      </c>
      <c r="P41" s="597">
        <f>('Pivot Table for Data Exchange'!$C$39)*100</f>
        <v>0</v>
      </c>
      <c r="Q41" s="135">
        <f t="shared" si="3"/>
        <v>100</v>
      </c>
      <c r="R41" s="135">
        <f t="shared" si="2"/>
        <v>100</v>
      </c>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row>
    <row r="42" spans="1:41" ht="15.75" customHeight="1">
      <c r="A42" s="102" t="s">
        <v>176</v>
      </c>
      <c r="B42" s="597">
        <f>('Pivot Table for Data Exchange'!$C$42)*100</f>
        <v>94.385322186375603</v>
      </c>
      <c r="C42" s="597">
        <f>('Pivot Table for Data Exchange'!$C$45)*100</f>
        <v>2.4224984312706388</v>
      </c>
      <c r="D42" s="603">
        <f t="shared" ref="D42:D44" si="4">SUM(E42:G42)</f>
        <v>3.192179382353749</v>
      </c>
      <c r="E42" s="597">
        <f>('Pivot Table for Data Exchange'!$C$48)*100</f>
        <v>3.0265384639762694</v>
      </c>
      <c r="F42" s="597">
        <f>('Pivot Table for Data Exchange'!$C$51)*100</f>
        <v>0.12761111568877254</v>
      </c>
      <c r="G42" s="105">
        <f>('Pivot Table for Data Exchange'!$C$54)*100</f>
        <v>3.8029802688707044E-2</v>
      </c>
      <c r="H42" s="597">
        <f>('Pivot Table for Data Exchange'!$C$57)*100</f>
        <v>0</v>
      </c>
      <c r="I42" s="125" t="s">
        <v>176</v>
      </c>
      <c r="J42" s="597">
        <f>('Pivot Table for Data Exchange'!$C$60)*100</f>
        <v>75.414108806096522</v>
      </c>
      <c r="K42" s="597">
        <f>('Pivot Table for Data Exchange'!$C$63)*100</f>
        <v>4.6517781541066894</v>
      </c>
      <c r="L42" s="603">
        <f t="shared" ref="L42:L44" si="5">SUM(M42:O42)</f>
        <v>19.934113039796781</v>
      </c>
      <c r="M42" s="597">
        <f>('Pivot Table for Data Exchange'!$C$66)*100</f>
        <v>15.056096528365792</v>
      </c>
      <c r="N42" s="104">
        <f>('Pivot Table for Data Exchange'!$C$69)*100</f>
        <v>2.3814563928873836E-2</v>
      </c>
      <c r="O42" s="599">
        <f>('Pivot Table for Data Exchange'!$C$72)*100</f>
        <v>4.8542019475021165</v>
      </c>
      <c r="P42" s="597">
        <f>('Pivot Table for Data Exchange'!$C$75)*100</f>
        <v>0</v>
      </c>
      <c r="Q42" s="135">
        <f t="shared" si="3"/>
        <v>99.999999999999986</v>
      </c>
      <c r="R42" s="135">
        <f t="shared" si="2"/>
        <v>100</v>
      </c>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row>
    <row r="43" spans="1:41" ht="15.75" customHeight="1">
      <c r="A43" s="102" t="s">
        <v>177</v>
      </c>
      <c r="B43" s="597">
        <f>('Pivot Table for Data Exchange'!$C$78)*100</f>
        <v>96.498667102945845</v>
      </c>
      <c r="C43" s="597">
        <f>('Pivot Table for Data Exchange'!$C$81)*100</f>
        <v>0</v>
      </c>
      <c r="D43" s="603">
        <f t="shared" si="4"/>
        <v>3.5013328970541533</v>
      </c>
      <c r="E43" s="597">
        <f>('Pivot Table for Data Exchange'!$C$84)*100</f>
        <v>3.5013328970541533</v>
      </c>
      <c r="F43" s="597">
        <f>('Pivot Table for Data Exchange'!$C$87)*100</f>
        <v>0</v>
      </c>
      <c r="G43" s="599">
        <f>('Pivot Table for Data Exchange'!$C$90)*100</f>
        <v>0</v>
      </c>
      <c r="H43" s="597">
        <f>('Pivot Table for Data Exchange'!$C$93)*100</f>
        <v>0</v>
      </c>
      <c r="I43" s="125" t="s">
        <v>177</v>
      </c>
      <c r="J43" s="597">
        <f>('Pivot Table for Data Exchange'!$C$96)*100</f>
        <v>93.720496212537057</v>
      </c>
      <c r="K43" s="597">
        <f>('Pivot Table for Data Exchange'!$C$99)*100</f>
        <v>0</v>
      </c>
      <c r="L43" s="603">
        <f t="shared" si="5"/>
        <v>6.2795037874629482</v>
      </c>
      <c r="M43" s="597">
        <f>('Pivot Table for Data Exchange'!$C$102)*100</f>
        <v>6.0434734877593588</v>
      </c>
      <c r="N43" s="597">
        <f>('Pivot Table for Data Exchange'!$C$105)*100</f>
        <v>0.23603029970358985</v>
      </c>
      <c r="O43" s="599">
        <f>('Pivot Table for Data Exchange'!$C$108)*100</f>
        <v>0</v>
      </c>
      <c r="P43" s="597">
        <f>('Pivot Table for Data Exchange'!$C$111)*100</f>
        <v>0</v>
      </c>
      <c r="Q43" s="135">
        <f t="shared" si="3"/>
        <v>100</v>
      </c>
      <c r="R43" s="135">
        <f t="shared" si="2"/>
        <v>100</v>
      </c>
      <c r="S43" s="100"/>
      <c r="T43" s="112"/>
      <c r="U43" s="100"/>
      <c r="V43" s="100"/>
      <c r="W43" s="100"/>
      <c r="X43" s="100"/>
      <c r="Y43" s="100"/>
      <c r="Z43" s="100"/>
      <c r="AA43" s="100"/>
      <c r="AB43" s="100"/>
      <c r="AC43" s="100"/>
      <c r="AD43" s="100"/>
      <c r="AE43" s="100"/>
      <c r="AF43" s="100"/>
      <c r="AG43" s="100"/>
      <c r="AH43" s="100"/>
      <c r="AI43" s="100"/>
      <c r="AJ43" s="100"/>
      <c r="AK43" s="100"/>
      <c r="AL43" s="100"/>
      <c r="AM43" s="100"/>
      <c r="AN43" s="100"/>
      <c r="AO43" s="100"/>
    </row>
    <row r="44" spans="1:41" ht="15.75" customHeight="1">
      <c r="A44" s="102" t="s">
        <v>217</v>
      </c>
      <c r="B44" s="597">
        <f>('Pivot Table for Data Exchange'!$C$114)*100</f>
        <v>71.856326751405348</v>
      </c>
      <c r="C44" s="597">
        <f>('Pivot Table for Data Exchange'!$C$117)*100</f>
        <v>8.5876857330333003</v>
      </c>
      <c r="D44" s="603">
        <f t="shared" si="4"/>
        <v>19.425376177945413</v>
      </c>
      <c r="E44" s="597">
        <f>('Pivot Table for Data Exchange'!$C$120)*100</f>
        <v>16.165669270408799</v>
      </c>
      <c r="F44" s="104">
        <f>('Pivot Table for Data Exchange'!$C$123)*100</f>
        <v>4.7429674965855879E-2</v>
      </c>
      <c r="G44" s="599">
        <f>('Pivot Table for Data Exchange'!$C$126)*100</f>
        <v>3.2122772325707603</v>
      </c>
      <c r="H44" s="597">
        <f>('Pivot Table for Data Exchange'!$C$129)*100</f>
        <v>0.13061133761592922</v>
      </c>
      <c r="I44" s="125" t="s">
        <v>217</v>
      </c>
      <c r="J44" s="597">
        <f>('Pivot Table for Data Exchange'!$C$132)*100</f>
        <v>69.704439859150483</v>
      </c>
      <c r="K44" s="597">
        <f>('Pivot Table for Data Exchange'!$C$135)*100</f>
        <v>7.9522007019517478</v>
      </c>
      <c r="L44" s="603">
        <f t="shared" si="5"/>
        <v>22.332167240147278</v>
      </c>
      <c r="M44" s="597">
        <f>('Pivot Table for Data Exchange'!$C$138)*100</f>
        <v>17.716867982754447</v>
      </c>
      <c r="N44" s="597">
        <f>('Pivot Table for Data Exchange'!$C$141)*100</f>
        <v>6.3231139949357681E-2</v>
      </c>
      <c r="O44" s="599">
        <f>('Pivot Table for Data Exchange'!$C$144)*100</f>
        <v>4.5520681174434721</v>
      </c>
      <c r="P44" s="104">
        <f>('Pivot Table for Data Exchange'!$C$147)*100</f>
        <v>1.1192198750491452E-2</v>
      </c>
      <c r="Q44" s="135">
        <f t="shared" si="3"/>
        <v>99.999999999999986</v>
      </c>
      <c r="R44" s="135">
        <f t="shared" si="2"/>
        <v>100.00000000000001</v>
      </c>
      <c r="S44" s="100"/>
      <c r="U44" s="100"/>
      <c r="V44" s="100"/>
      <c r="W44" s="100"/>
      <c r="X44" s="100"/>
      <c r="Y44" s="100"/>
      <c r="Z44" s="100"/>
      <c r="AA44" s="100"/>
      <c r="AB44" s="100"/>
      <c r="AC44" s="100"/>
      <c r="AD44" s="100"/>
      <c r="AE44" s="100"/>
      <c r="AF44" s="100"/>
      <c r="AG44" s="100"/>
      <c r="AH44" s="100"/>
      <c r="AI44" s="100"/>
      <c r="AJ44" s="100"/>
      <c r="AK44" s="100"/>
      <c r="AL44" s="100"/>
      <c r="AM44" s="100"/>
      <c r="AN44" s="100"/>
      <c r="AO44" s="100"/>
    </row>
    <row r="45" spans="1:41" ht="10.5" customHeight="1">
      <c r="A45" s="102"/>
      <c r="B45" s="597"/>
      <c r="C45" s="597"/>
      <c r="D45" s="603"/>
      <c r="E45" s="597"/>
      <c r="F45" s="597"/>
      <c r="G45" s="599"/>
      <c r="H45" s="597"/>
      <c r="I45" s="125"/>
      <c r="J45" s="597"/>
      <c r="K45" s="597"/>
      <c r="L45" s="603"/>
      <c r="M45" s="597"/>
      <c r="N45" s="597"/>
      <c r="O45" s="599"/>
      <c r="P45" s="597"/>
      <c r="Q45" s="135">
        <f t="shared" si="3"/>
        <v>0</v>
      </c>
      <c r="R45" s="135">
        <f t="shared" si="2"/>
        <v>0</v>
      </c>
      <c r="S45" s="100"/>
      <c r="U45" s="100"/>
      <c r="V45" s="100"/>
      <c r="W45" s="100"/>
      <c r="X45" s="100"/>
      <c r="Y45" s="100"/>
      <c r="Z45" s="100"/>
      <c r="AA45" s="100"/>
      <c r="AB45" s="100"/>
      <c r="AC45" s="100"/>
      <c r="AD45" s="100"/>
      <c r="AE45" s="100"/>
      <c r="AF45" s="100"/>
      <c r="AG45" s="100"/>
      <c r="AH45" s="100"/>
      <c r="AI45" s="100"/>
      <c r="AJ45" s="100"/>
      <c r="AK45" s="100"/>
      <c r="AL45" s="100"/>
      <c r="AM45" s="100"/>
      <c r="AN45" s="100"/>
      <c r="AO45" s="100"/>
    </row>
    <row r="46" spans="1:41" ht="15.75" customHeight="1">
      <c r="A46" s="102" t="s">
        <v>179</v>
      </c>
      <c r="B46" s="597">
        <f>('Pivot Table for Data Exchange'!$C$150)*100</f>
        <v>0</v>
      </c>
      <c r="C46" s="597">
        <f>('Pivot Table for Data Exchange'!$C$153)*100</f>
        <v>0</v>
      </c>
      <c r="D46" s="603">
        <f t="shared" ref="D46:D49" si="6">SUM(E46:G46)</f>
        <v>0</v>
      </c>
      <c r="E46" s="597">
        <f>('Pivot Table for Data Exchange'!$C$156)*100</f>
        <v>0</v>
      </c>
      <c r="F46" s="597">
        <f>('Pivot Table for Data Exchange'!$C$159)*100</f>
        <v>0</v>
      </c>
      <c r="G46" s="599">
        <f>('Pivot Table for Data Exchange'!$C$162)*100</f>
        <v>0</v>
      </c>
      <c r="H46" s="597">
        <f>('Pivot Table for Data Exchange'!$C$165)*100</f>
        <v>0</v>
      </c>
      <c r="I46" s="125" t="s">
        <v>179</v>
      </c>
      <c r="J46" s="597">
        <f>('Pivot Table for Data Exchange'!$C$168)*100</f>
        <v>0</v>
      </c>
      <c r="K46" s="597">
        <f>('Pivot Table for Data Exchange'!$C$171)*100</f>
        <v>0</v>
      </c>
      <c r="L46" s="603">
        <f t="shared" ref="L46:L49" si="7">SUM(M46:O46)</f>
        <v>0</v>
      </c>
      <c r="M46" s="597">
        <f>('Pivot Table for Data Exchange'!$C$174)*100</f>
        <v>0</v>
      </c>
      <c r="N46" s="597">
        <f>('Pivot Table for Data Exchange'!$C$177)*100</f>
        <v>0</v>
      </c>
      <c r="O46" s="599">
        <f>('Pivot Table for Data Exchange'!$C$180)*100</f>
        <v>0</v>
      </c>
      <c r="P46" s="597">
        <f>('Pivot Table for Data Exchange'!$C$183)*100</f>
        <v>0</v>
      </c>
      <c r="Q46" s="135">
        <f t="shared" si="3"/>
        <v>0</v>
      </c>
      <c r="R46" s="135">
        <f t="shared" si="2"/>
        <v>0</v>
      </c>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row>
    <row r="47" spans="1:41" ht="15.75" customHeight="1">
      <c r="A47" s="102" t="s">
        <v>180</v>
      </c>
      <c r="B47" s="597">
        <f>('Pivot Table for Data Exchange'!$C$186)*100</f>
        <v>94.428619159398934</v>
      </c>
      <c r="C47" s="597">
        <f>('Pivot Table for Data Exchange'!$C$189)*100</f>
        <v>1.2723172215273375</v>
      </c>
      <c r="D47" s="603">
        <f t="shared" si="6"/>
        <v>4.2990636190737295</v>
      </c>
      <c r="E47" s="597">
        <f>('Pivot Table for Data Exchange'!$C$192)*100</f>
        <v>4.0329489573873865</v>
      </c>
      <c r="F47" s="597">
        <f>('Pivot Table for Data Exchange'!$C$195)*100</f>
        <v>0.14017870911365077</v>
      </c>
      <c r="G47" s="599">
        <f>('Pivot Table for Data Exchange'!$C$198)*100</f>
        <v>0.12593595257269161</v>
      </c>
      <c r="H47" s="597">
        <f>('Pivot Table for Data Exchange'!$C$201)*100</f>
        <v>0</v>
      </c>
      <c r="I47" s="125" t="s">
        <v>180</v>
      </c>
      <c r="J47" s="597">
        <f>('Pivot Table for Data Exchange'!$C$204)*100</f>
        <v>87.605312279285641</v>
      </c>
      <c r="K47" s="597">
        <f>('Pivot Table for Data Exchange'!$C$207)*100</f>
        <v>4.501311673897689</v>
      </c>
      <c r="L47" s="603">
        <f t="shared" si="7"/>
        <v>7.8933760468166687</v>
      </c>
      <c r="M47" s="597">
        <f>('Pivot Table for Data Exchange'!$C$210)*100</f>
        <v>7.4557310059529813</v>
      </c>
      <c r="N47" s="597">
        <f>('Pivot Table for Data Exchange'!$C$213)*100</f>
        <v>0.21440823327615782</v>
      </c>
      <c r="O47" s="599">
        <f>('Pivot Table for Data Exchange'!$C$216)*100</f>
        <v>0.22323680758752901</v>
      </c>
      <c r="P47" s="597">
        <f>('Pivot Table for Data Exchange'!$C$219)*100</f>
        <v>0</v>
      </c>
      <c r="Q47" s="135">
        <f t="shared" si="3"/>
        <v>100</v>
      </c>
      <c r="R47" s="135">
        <f t="shared" si="2"/>
        <v>100</v>
      </c>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row>
    <row r="48" spans="1:41" ht="15.75" customHeight="1">
      <c r="A48" s="102" t="s">
        <v>181</v>
      </c>
      <c r="B48" s="597">
        <f>('Pivot Table for Data Exchange'!$C$222)*100</f>
        <v>0</v>
      </c>
      <c r="C48" s="597">
        <f>('Pivot Table for Data Exchange'!$C$225)*100</f>
        <v>0</v>
      </c>
      <c r="D48" s="603">
        <f t="shared" si="6"/>
        <v>0</v>
      </c>
      <c r="E48" s="597">
        <f>('Pivot Table for Data Exchange'!$C$228)*100</f>
        <v>0</v>
      </c>
      <c r="F48" s="597">
        <f>('Pivot Table for Data Exchange'!$C$231)*100</f>
        <v>0</v>
      </c>
      <c r="G48" s="599">
        <f>('Pivot Table for Data Exchange'!$C$234)*100</f>
        <v>0</v>
      </c>
      <c r="H48" s="597">
        <f>('Pivot Table for Data Exchange'!$C$237)*100</f>
        <v>0</v>
      </c>
      <c r="I48" s="125" t="s">
        <v>181</v>
      </c>
      <c r="J48" s="597">
        <f>('Pivot Table for Data Exchange'!$C$240)*100</f>
        <v>0</v>
      </c>
      <c r="K48" s="597">
        <f>('Pivot Table for Data Exchange'!$C$243)*100</f>
        <v>0</v>
      </c>
      <c r="L48" s="603">
        <f t="shared" si="7"/>
        <v>0</v>
      </c>
      <c r="M48" s="597">
        <f>('Pivot Table for Data Exchange'!$C$246)*100</f>
        <v>0</v>
      </c>
      <c r="N48" s="597">
        <f>('Pivot Table for Data Exchange'!$C$249)*100</f>
        <v>0</v>
      </c>
      <c r="O48" s="599">
        <f>('Pivot Table for Data Exchange'!$C$252)*100</f>
        <v>0</v>
      </c>
      <c r="P48" s="597">
        <f>('Pivot Table for Data Exchange'!$C$255)*100</f>
        <v>0</v>
      </c>
      <c r="Q48" s="135">
        <f t="shared" si="3"/>
        <v>0</v>
      </c>
      <c r="R48" s="135">
        <f t="shared" si="2"/>
        <v>0</v>
      </c>
      <c r="S48" s="100"/>
      <c r="T48" s="112"/>
      <c r="U48" s="100"/>
      <c r="V48" s="100"/>
      <c r="W48" s="100"/>
      <c r="X48" s="100"/>
      <c r="Y48" s="100"/>
      <c r="Z48" s="100"/>
      <c r="AA48" s="100"/>
      <c r="AB48" s="100"/>
      <c r="AC48" s="100"/>
      <c r="AD48" s="100"/>
      <c r="AE48" s="100"/>
      <c r="AF48" s="100"/>
      <c r="AG48" s="100"/>
      <c r="AH48" s="100"/>
      <c r="AI48" s="100"/>
      <c r="AJ48" s="100"/>
      <c r="AK48" s="100"/>
      <c r="AL48" s="100"/>
      <c r="AM48" s="100"/>
      <c r="AN48" s="100"/>
      <c r="AO48" s="100"/>
    </row>
    <row r="49" spans="1:41" ht="15.75" customHeight="1">
      <c r="A49" s="102" t="s">
        <v>222</v>
      </c>
      <c r="B49" s="597">
        <f>('Pivot Table for Data Exchange'!$C$258)*100</f>
        <v>96.501330050123997</v>
      </c>
      <c r="C49" s="597">
        <f>('Pivot Table for Data Exchange'!$C$261)*100</f>
        <v>2.1143167446178639</v>
      </c>
      <c r="D49" s="603">
        <f t="shared" si="6"/>
        <v>1.3843532052581398</v>
      </c>
      <c r="E49" s="597">
        <f>('Pivot Table for Data Exchange'!$C$264)*100</f>
        <v>1.3411860093241144</v>
      </c>
      <c r="F49" s="104">
        <f>('Pivot Table for Data Exchange'!$C$267)*100</f>
        <v>4.3167195934025508E-2</v>
      </c>
      <c r="G49" s="599">
        <f>('Pivot Table for Data Exchange'!$C$270)*100</f>
        <v>0</v>
      </c>
      <c r="H49" s="597">
        <f>('Pivot Table for Data Exchange'!$C$273)*100</f>
        <v>0</v>
      </c>
      <c r="I49" s="125" t="s">
        <v>222</v>
      </c>
      <c r="J49" s="597">
        <f>('Pivot Table for Data Exchange'!$C$276)*100</f>
        <v>73.54490256764052</v>
      </c>
      <c r="K49" s="597">
        <f>('Pivot Table for Data Exchange'!$C$279)*100</f>
        <v>22.377662581566263</v>
      </c>
      <c r="L49" s="603">
        <f t="shared" si="7"/>
        <v>4.0774348507932254</v>
      </c>
      <c r="M49" s="597">
        <f>('Pivot Table for Data Exchange'!$C$282)*100</f>
        <v>3.445026813461987</v>
      </c>
      <c r="N49" s="597">
        <f>('Pivot Table for Data Exchange'!$C$285)*100</f>
        <v>0.63240803733123807</v>
      </c>
      <c r="O49" s="599">
        <f>('Pivot Table for Data Exchange'!$C$288)*100</f>
        <v>0</v>
      </c>
      <c r="P49" s="597">
        <f>('Pivot Table for Data Exchange'!$C$291)*100</f>
        <v>0</v>
      </c>
      <c r="Q49" s="135">
        <f t="shared" si="3"/>
        <v>100</v>
      </c>
      <c r="R49" s="135">
        <f t="shared" si="2"/>
        <v>100</v>
      </c>
      <c r="S49" s="100"/>
      <c r="U49" s="100"/>
      <c r="V49" s="100"/>
      <c r="W49" s="100"/>
      <c r="X49" s="100"/>
      <c r="Y49" s="100"/>
      <c r="Z49" s="100"/>
      <c r="AA49" s="100"/>
      <c r="AB49" s="100"/>
      <c r="AC49" s="100"/>
      <c r="AD49" s="100"/>
      <c r="AE49" s="100"/>
      <c r="AF49" s="100"/>
      <c r="AG49" s="100"/>
      <c r="AH49" s="100"/>
      <c r="AI49" s="100"/>
      <c r="AJ49" s="100"/>
      <c r="AK49" s="100"/>
      <c r="AL49" s="100"/>
      <c r="AM49" s="100"/>
      <c r="AN49" s="100"/>
      <c r="AO49" s="100"/>
    </row>
    <row r="50" spans="1:41" ht="12" customHeight="1">
      <c r="A50" s="102"/>
      <c r="B50" s="597"/>
      <c r="C50" s="597"/>
      <c r="D50" s="603"/>
      <c r="E50" s="597"/>
      <c r="F50" s="597"/>
      <c r="G50" s="599"/>
      <c r="H50" s="597"/>
      <c r="I50" s="125"/>
      <c r="J50" s="597"/>
      <c r="K50" s="597"/>
      <c r="L50" s="603"/>
      <c r="M50" s="597"/>
      <c r="N50" s="597"/>
      <c r="O50" s="599"/>
      <c r="P50" s="597"/>
      <c r="Q50" s="135">
        <f t="shared" si="3"/>
        <v>0</v>
      </c>
      <c r="R50" s="135">
        <f t="shared" si="2"/>
        <v>0</v>
      </c>
      <c r="S50" s="100"/>
      <c r="U50" s="100"/>
      <c r="V50" s="100"/>
      <c r="W50" s="100"/>
      <c r="X50" s="100"/>
      <c r="Y50" s="100"/>
      <c r="Z50" s="100"/>
      <c r="AA50" s="100"/>
      <c r="AB50" s="100"/>
      <c r="AC50" s="100"/>
      <c r="AD50" s="100"/>
      <c r="AE50" s="100"/>
      <c r="AF50" s="100"/>
      <c r="AG50" s="100"/>
      <c r="AH50" s="100"/>
      <c r="AI50" s="100"/>
      <c r="AJ50" s="100"/>
      <c r="AK50" s="100"/>
      <c r="AL50" s="100"/>
      <c r="AM50" s="100"/>
      <c r="AN50" s="100"/>
      <c r="AO50" s="100"/>
    </row>
    <row r="51" spans="1:41" ht="15.75" customHeight="1">
      <c r="A51" s="102" t="s">
        <v>183</v>
      </c>
      <c r="B51" s="597">
        <f>('Pivot Table for Data Exchange'!$C$294)*100</f>
        <v>86.160152939553399</v>
      </c>
      <c r="C51" s="597">
        <f>('Pivot Table for Data Exchange'!$C$297)*100</f>
        <v>6.4582799555897168</v>
      </c>
      <c r="D51" s="603">
        <f t="shared" ref="D51:D53" si="8">SUM(E51:G51)</f>
        <v>7.3815671048568827</v>
      </c>
      <c r="E51" s="597">
        <f>('Pivot Table for Data Exchange'!$C$300)*100</f>
        <v>6.972151599361438</v>
      </c>
      <c r="F51" s="597">
        <f>('Pivot Table for Data Exchange'!$C$303)*100</f>
        <v>6.2542291596865002E-2</v>
      </c>
      <c r="G51" s="599">
        <f>('Pivot Table for Data Exchange'!$C$306)*100</f>
        <v>0.346873213898579</v>
      </c>
      <c r="H51" s="597">
        <f>('Pivot Table for Data Exchange'!$C$309)*100</f>
        <v>0</v>
      </c>
      <c r="I51" s="125" t="s">
        <v>183</v>
      </c>
      <c r="J51" s="597">
        <f>('Pivot Table for Data Exchange'!$C$312)*100</f>
        <v>68.800612384674267</v>
      </c>
      <c r="K51" s="597">
        <f>('Pivot Table for Data Exchange'!$C$315)*100</f>
        <v>6.9086660489101979</v>
      </c>
      <c r="L51" s="603">
        <f t="shared" ref="L51:L53" si="9">SUM(M51:O51)</f>
        <v>24.290721566415538</v>
      </c>
      <c r="M51" s="597">
        <f>('Pivot Table for Data Exchange'!$C$318)*100</f>
        <v>23.811288828008543</v>
      </c>
      <c r="N51" s="597">
        <f>('Pivot Table for Data Exchange'!$C$321)*100</f>
        <v>0.47459812255751177</v>
      </c>
      <c r="O51" s="630">
        <f>('Pivot Table for Data Exchange'!$C$324)*100</f>
        <v>4.8346158494822931E-3</v>
      </c>
      <c r="P51" s="597">
        <f>('Pivot Table for Data Exchange'!$C$327)*100</f>
        <v>0</v>
      </c>
      <c r="Q51" s="135">
        <f t="shared" si="3"/>
        <v>100</v>
      </c>
      <c r="R51" s="135">
        <f t="shared" si="2"/>
        <v>100</v>
      </c>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row>
    <row r="52" spans="1:41" ht="15.75" customHeight="1">
      <c r="A52" s="102" t="s">
        <v>184</v>
      </c>
      <c r="B52" s="597">
        <f>('Pivot Table for Data Exchange'!$C$330)*100</f>
        <v>90.716426798525916</v>
      </c>
      <c r="C52" s="597">
        <f>('Pivot Table for Data Exchange'!$C$333)*100</f>
        <v>0.21400446686569266</v>
      </c>
      <c r="D52" s="603">
        <f t="shared" si="8"/>
        <v>9.0695687346083869</v>
      </c>
      <c r="E52" s="597">
        <f>('Pivot Table for Data Exchange'!$C$336)*100</f>
        <v>9.0380957059024372</v>
      </c>
      <c r="F52" s="98">
        <f>('Pivot Table for Data Exchange'!$C$339)*100</f>
        <v>4.3662005141201108E-3</v>
      </c>
      <c r="G52" s="105">
        <f>('Pivot Table for Data Exchange'!$C$342)*100</f>
        <v>2.7106828191829021E-2</v>
      </c>
      <c r="H52" s="597">
        <f>('Pivot Table for Data Exchange'!$C$345)*100</f>
        <v>0</v>
      </c>
      <c r="I52" s="125" t="s">
        <v>184</v>
      </c>
      <c r="J52" s="597">
        <f>('Pivot Table for Data Exchange'!$C$348)*100</f>
        <v>82.723661840448955</v>
      </c>
      <c r="K52" s="597">
        <f>('Pivot Table for Data Exchange'!$C$351)*100</f>
        <v>6.0071114409945991</v>
      </c>
      <c r="L52" s="603">
        <f t="shared" si="9"/>
        <v>11.269226718556448</v>
      </c>
      <c r="M52" s="597">
        <f>('Pivot Table for Data Exchange'!$C$354)*100</f>
        <v>10.95929226618254</v>
      </c>
      <c r="N52" s="597">
        <f>('Pivot Table for Data Exchange'!$C$357)*100</f>
        <v>0.18957155824811808</v>
      </c>
      <c r="O52" s="599">
        <f>('Pivot Table for Data Exchange'!$C$360)*100</f>
        <v>0.12036289412578925</v>
      </c>
      <c r="P52" s="597">
        <f>('Pivot Table for Data Exchange'!$C$363)*100</f>
        <v>0</v>
      </c>
      <c r="Q52" s="135">
        <f t="shared" si="3"/>
        <v>99.999999999999986</v>
      </c>
      <c r="R52" s="135">
        <f t="shared" si="2"/>
        <v>100.00000000000001</v>
      </c>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row>
    <row r="53" spans="1:41" ht="15.75" customHeight="1">
      <c r="A53" s="102" t="s">
        <v>185</v>
      </c>
      <c r="B53" s="597">
        <f>('Pivot Table for Data Exchange'!$C$366)*100</f>
        <v>89.784274426744886</v>
      </c>
      <c r="C53" s="597">
        <f>('Pivot Table for Data Exchange'!$C$369)*100</f>
        <v>0.56638154813484698</v>
      </c>
      <c r="D53" s="603">
        <f t="shared" si="8"/>
        <v>9.6493440251202642</v>
      </c>
      <c r="E53" s="597">
        <f>('Pivot Table for Data Exchange'!$C$372)*100</f>
        <v>9.4953762256272967</v>
      </c>
      <c r="F53" s="104">
        <f>('Pivot Table for Data Exchange'!$C$375)*100</f>
        <v>2.9580020592245106E-2</v>
      </c>
      <c r="G53" s="599">
        <f>('Pivot Table for Data Exchange'!$C$378)*100</f>
        <v>0.124387778900723</v>
      </c>
      <c r="H53" s="597">
        <f>('Pivot Table for Data Exchange'!$C$381)*100</f>
        <v>0</v>
      </c>
      <c r="I53" s="125" t="s">
        <v>185</v>
      </c>
      <c r="J53" s="597">
        <f>('Pivot Table for Data Exchange'!$C$384)*100</f>
        <v>73.628050430171527</v>
      </c>
      <c r="K53" s="597">
        <f>('Pivot Table for Data Exchange'!$C$387)*100</f>
        <v>13.605324387208483</v>
      </c>
      <c r="L53" s="603">
        <f t="shared" si="9"/>
        <v>12.748227909745143</v>
      </c>
      <c r="M53" s="597">
        <f>('Pivot Table for Data Exchange'!$C$390)*100</f>
        <v>11.123856934148584</v>
      </c>
      <c r="N53" s="597">
        <f>('Pivot Table for Data Exchange'!$C$393)*100</f>
        <v>0.24349331746117633</v>
      </c>
      <c r="O53" s="599">
        <f>('Pivot Table for Data Exchange'!$C$396)*100</f>
        <v>1.3808776581353823</v>
      </c>
      <c r="P53" s="104">
        <f>('Pivot Table for Data Exchange'!$C$399)*100</f>
        <v>1.8397272874844436E-2</v>
      </c>
      <c r="Q53" s="135">
        <f t="shared" si="3"/>
        <v>100</v>
      </c>
      <c r="R53" s="135">
        <f t="shared" si="2"/>
        <v>100</v>
      </c>
      <c r="S53" s="100"/>
      <c r="T53" s="112"/>
      <c r="U53" s="100"/>
      <c r="V53" s="100"/>
      <c r="W53" s="100"/>
      <c r="X53" s="100"/>
      <c r="Y53" s="100"/>
      <c r="Z53" s="100"/>
      <c r="AA53" s="100"/>
      <c r="AB53" s="100"/>
      <c r="AC53" s="100"/>
      <c r="AD53" s="100"/>
      <c r="AE53" s="100"/>
      <c r="AF53" s="100"/>
      <c r="AG53" s="100"/>
      <c r="AH53" s="100"/>
      <c r="AI53" s="100"/>
      <c r="AJ53" s="100"/>
      <c r="AK53" s="100"/>
      <c r="AL53" s="100"/>
      <c r="AM53" s="100"/>
      <c r="AN53" s="100"/>
      <c r="AO53" s="100"/>
    </row>
    <row r="54" spans="1:41" ht="15.75" customHeight="1">
      <c r="A54" s="102" t="s">
        <v>186</v>
      </c>
      <c r="B54" s="597">
        <f>('Pivot Table for Data Exchange'!$C$402)*100</f>
        <v>94.047408375005247</v>
      </c>
      <c r="C54" s="597">
        <f>('Pivot Table for Data Exchange'!$C$405)*100</f>
        <v>2.0681187526339508</v>
      </c>
      <c r="D54" s="603">
        <f>SUM(E54:G54)</f>
        <v>3.8844728723608042</v>
      </c>
      <c r="E54" s="597">
        <f>('Pivot Table for Data Exchange'!$C$408)*100</f>
        <v>3.4656861224780204</v>
      </c>
      <c r="F54" s="597">
        <f>('Pivot Table for Data Exchange'!$C$411)*100</f>
        <v>0.31981405904792837</v>
      </c>
      <c r="G54" s="599">
        <f>('Pivot Table for Data Exchange'!$C$414)*100</f>
        <v>9.8972690834855173E-2</v>
      </c>
      <c r="H54" s="597">
        <f>('Pivot Table for Data Exchange'!$C$417)*100</f>
        <v>0</v>
      </c>
      <c r="I54" s="125" t="s">
        <v>186</v>
      </c>
      <c r="J54" s="597">
        <f>('Pivot Table for Data Exchange'!$C$420)*100</f>
        <v>69.357702733939945</v>
      </c>
      <c r="K54" s="597">
        <f>('Pivot Table for Data Exchange'!$C$423)*100</f>
        <v>10.86798915670246</v>
      </c>
      <c r="L54" s="603">
        <f>SUM(M54:O54)</f>
        <v>19.774308109357598</v>
      </c>
      <c r="M54" s="597">
        <f>('Pivot Table for Data Exchange'!$C$426)*100</f>
        <v>18.342194296761722</v>
      </c>
      <c r="N54" s="597">
        <f>('Pivot Table for Data Exchange'!$C$429)*100</f>
        <v>0.2490175888372875</v>
      </c>
      <c r="O54" s="599">
        <f>('Pivot Table for Data Exchange'!$C$432)*100</f>
        <v>1.1830962237585896</v>
      </c>
      <c r="P54" s="597">
        <f>('Pivot Table for Data Exchange'!$C$435)*100</f>
        <v>0</v>
      </c>
      <c r="Q54" s="135">
        <f t="shared" si="3"/>
        <v>100</v>
      </c>
      <c r="R54" s="135">
        <f t="shared" si="2"/>
        <v>100</v>
      </c>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row>
    <row r="55" spans="1:41" ht="14.25" customHeight="1">
      <c r="A55" s="102"/>
      <c r="B55" s="597"/>
      <c r="C55" s="597"/>
      <c r="D55" s="603"/>
      <c r="E55" s="597"/>
      <c r="F55" s="597"/>
      <c r="G55" s="599"/>
      <c r="H55" s="597"/>
      <c r="I55" s="125"/>
      <c r="J55" s="597"/>
      <c r="K55" s="597"/>
      <c r="L55" s="603"/>
      <c r="M55" s="597"/>
      <c r="N55" s="597"/>
      <c r="O55" s="599"/>
      <c r="P55" s="597"/>
      <c r="Q55" s="135">
        <f t="shared" si="3"/>
        <v>0</v>
      </c>
      <c r="R55" s="135">
        <f t="shared" si="2"/>
        <v>0</v>
      </c>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row>
    <row r="56" spans="1:41" ht="15.75" customHeight="1">
      <c r="A56" s="102" t="s">
        <v>187</v>
      </c>
      <c r="B56" s="597">
        <f>('Pivot Table for Data Exchange'!$C$438)*100</f>
        <v>84.754477355785724</v>
      </c>
      <c r="C56" s="597">
        <f>('Pivot Table for Data Exchange'!$C$441)*100</f>
        <v>0.88527469864922159</v>
      </c>
      <c r="D56" s="603">
        <f>SUM(E56:G56)</f>
        <v>14.029418297090476</v>
      </c>
      <c r="E56" s="597">
        <f>('Pivot Table for Data Exchange'!$C$444)*100</f>
        <v>4.3332929513194829</v>
      </c>
      <c r="F56" s="597">
        <f>('Pivot Table for Data Exchange'!$C$447)*100</f>
        <v>0.11710784016798917</v>
      </c>
      <c r="G56" s="599">
        <f>('Pivot Table for Data Exchange'!$C$450)*100</f>
        <v>9.5790175056030051</v>
      </c>
      <c r="H56" s="597">
        <f>('Pivot Table for Data Exchange'!$C$453)*100</f>
        <v>0.33082964847456942</v>
      </c>
      <c r="I56" s="125" t="s">
        <v>187</v>
      </c>
      <c r="J56" s="597">
        <f>('Pivot Table for Data Exchange'!$C$456)*100</f>
        <v>77.258549417512214</v>
      </c>
      <c r="K56" s="597">
        <f>('Pivot Table for Data Exchange'!$C$459)*100</f>
        <v>5.3640548665915073</v>
      </c>
      <c r="L56" s="603">
        <f>SUM(M56:O56)</f>
        <v>14.492202179631716</v>
      </c>
      <c r="M56" s="597">
        <f>('Pivot Table for Data Exchange'!$C$462)*100</f>
        <v>8.0834272829763236</v>
      </c>
      <c r="N56" s="597">
        <f>('Pivot Table for Data Exchange'!$C$465)*100</f>
        <v>5.9188275084554681E-2</v>
      </c>
      <c r="O56" s="599">
        <f>('Pivot Table for Data Exchange'!$C$468)*100</f>
        <v>6.3495866215708379</v>
      </c>
      <c r="P56" s="597">
        <f>('Pivot Table for Data Exchange'!$C$471)*100</f>
        <v>2.8851935362645622</v>
      </c>
      <c r="Q56" s="135">
        <f t="shared" si="3"/>
        <v>99.999999999999986</v>
      </c>
      <c r="R56" s="135">
        <f t="shared" si="2"/>
        <v>100</v>
      </c>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row>
    <row r="57" spans="1:41" ht="15.75" customHeight="1">
      <c r="A57" s="102" t="s">
        <v>188</v>
      </c>
      <c r="B57" s="597">
        <f>('Pivot Table for Data Exchange'!$C$474)*100</f>
        <v>92.168230010142452</v>
      </c>
      <c r="C57" s="597">
        <f>('Pivot Table for Data Exchange'!$C$477)*100</f>
        <v>0.6054820008063202</v>
      </c>
      <c r="D57" s="603">
        <f>SUM(E57:G57)</f>
        <v>7.2262879890512268</v>
      </c>
      <c r="E57" s="597">
        <f>('Pivot Table for Data Exchange'!$C$480)*100</f>
        <v>6.6356243172879523</v>
      </c>
      <c r="F57" s="104">
        <f>('Pivot Table for Data Exchange'!$C$483)*100</f>
        <v>9.5274632055423279E-3</v>
      </c>
      <c r="G57" s="599">
        <f>('Pivot Table for Data Exchange'!$C$486)*100</f>
        <v>0.58113620855773152</v>
      </c>
      <c r="H57" s="597">
        <f>('Pivot Table for Data Exchange'!$C$489)*100</f>
        <v>0</v>
      </c>
      <c r="I57" s="125" t="s">
        <v>188</v>
      </c>
      <c r="J57" s="597">
        <f>('Pivot Table for Data Exchange'!$C$492)*100</f>
        <v>86.98277661222113</v>
      </c>
      <c r="K57" s="597">
        <f>('Pivot Table for Data Exchange'!$C$495)*100</f>
        <v>2.1363554813504835</v>
      </c>
      <c r="L57" s="603">
        <f>SUM(M57:O57)</f>
        <v>10.88086790642838</v>
      </c>
      <c r="M57" s="597">
        <f>('Pivot Table for Data Exchange'!$C$498)*100</f>
        <v>10.261993943987376</v>
      </c>
      <c r="N57" s="597">
        <f>('Pivot Table for Data Exchange'!$C$501)*100</f>
        <v>5.4829981290069829E-2</v>
      </c>
      <c r="O57" s="599">
        <f>('Pivot Table for Data Exchange'!$C$504)*100</f>
        <v>0.56404398115093535</v>
      </c>
      <c r="P57" s="597">
        <f>('Pivot Table for Data Exchange'!$C$507)*100</f>
        <v>0</v>
      </c>
      <c r="Q57" s="135">
        <f t="shared" si="3"/>
        <v>100</v>
      </c>
      <c r="R57" s="135">
        <f t="shared" si="2"/>
        <v>99.999999999999986</v>
      </c>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row>
    <row r="58" spans="1:41" ht="15.75" customHeight="1">
      <c r="A58" s="102" t="s">
        <v>189</v>
      </c>
      <c r="B58" s="597">
        <f>('Pivot Table for Data Exchange'!$C$510)*100</f>
        <v>93.73494605303901</v>
      </c>
      <c r="C58" s="597">
        <f>('Pivot Table for Data Exchange'!$C$513)*100</f>
        <v>2.3933836193857667</v>
      </c>
      <c r="D58" s="603">
        <f t="shared" ref="D58" si="10">SUM(E58:G58)</f>
        <v>3.8716703275752256</v>
      </c>
      <c r="E58" s="597">
        <f>('Pivot Table for Data Exchange'!$C$516)*100</f>
        <v>2.2464635712622512</v>
      </c>
      <c r="F58" s="597">
        <f>('Pivot Table for Data Exchange'!$C$519)*100</f>
        <v>1.6252067563129742</v>
      </c>
      <c r="G58" s="599">
        <f>('Pivot Table for Data Exchange'!$C$522)*100</f>
        <v>0</v>
      </c>
      <c r="H58" s="597">
        <f>('Pivot Table for Data Exchange'!$C$525)*100</f>
        <v>0</v>
      </c>
      <c r="I58" s="125" t="s">
        <v>189</v>
      </c>
      <c r="J58" s="597">
        <f>('Pivot Table for Data Exchange'!$C$528)*100</f>
        <v>79.475183502477222</v>
      </c>
      <c r="K58" s="597">
        <f>('Pivot Table for Data Exchange'!$C$531)*100</f>
        <v>11.207394181734827</v>
      </c>
      <c r="L58" s="603">
        <f t="shared" ref="L58" si="11">SUM(M58:O58)</f>
        <v>9.317422315787951</v>
      </c>
      <c r="M58" s="597">
        <f>('Pivot Table for Data Exchange'!$C$534)*100</f>
        <v>6.1789672229301225</v>
      </c>
      <c r="N58" s="597">
        <f>('Pivot Table for Data Exchange'!$C$537)*100</f>
        <v>3.138455092857829</v>
      </c>
      <c r="O58" s="599">
        <f>('Pivot Table for Data Exchange'!$C$540)*100</f>
        <v>0</v>
      </c>
      <c r="P58" s="597">
        <f>('Pivot Table for Data Exchange'!$C$543)*100</f>
        <v>0</v>
      </c>
      <c r="Q58" s="135">
        <f t="shared" si="3"/>
        <v>100.00000000000001</v>
      </c>
      <c r="R58" s="135">
        <f t="shared" si="2"/>
        <v>100</v>
      </c>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row>
    <row r="59" spans="1:41" ht="15.75" customHeight="1">
      <c r="A59" s="76" t="s">
        <v>190</v>
      </c>
      <c r="B59" s="600">
        <f>('Pivot Table for Data Exchange'!$C$546)*100</f>
        <v>93.283710603437413</v>
      </c>
      <c r="C59" s="600">
        <f>('Pivot Table for Data Exchange'!$C$549)*100</f>
        <v>0.1806652787473054</v>
      </c>
      <c r="D59" s="604">
        <f>SUM(E59:G59)</f>
        <v>6.5356241178152876</v>
      </c>
      <c r="E59" s="600">
        <f>('Pivot Table for Data Exchange'!$C$552)*100</f>
        <v>6.1352391085744511</v>
      </c>
      <c r="F59" s="600">
        <f>('Pivot Table for Data Exchange'!$C$555)*100</f>
        <v>0</v>
      </c>
      <c r="G59" s="601">
        <f>('Pivot Table for Data Exchange'!$C$558)*100</f>
        <v>0.40038500924083681</v>
      </c>
      <c r="H59" s="600">
        <f>('Pivot Table for Data Exchange'!$C$561)*100</f>
        <v>0</v>
      </c>
      <c r="I59" s="619" t="s">
        <v>190</v>
      </c>
      <c r="J59" s="600">
        <f>('Pivot Table for Data Exchange'!$C$564)*100</f>
        <v>66.191904715276351</v>
      </c>
      <c r="K59" s="600">
        <f>('Pivot Table for Data Exchange'!$C$567)*100</f>
        <v>9.4759518235309823</v>
      </c>
      <c r="L59" s="604">
        <f>SUM(M59:O59)</f>
        <v>24.332143461192661</v>
      </c>
      <c r="M59" s="600">
        <f>('Pivot Table for Data Exchange'!$C$570)*100</f>
        <v>21.788012854179833</v>
      </c>
      <c r="N59" s="600">
        <f>('Pivot Table for Data Exchange'!$C$573)*100</f>
        <v>2.1319778879621141</v>
      </c>
      <c r="O59" s="601">
        <f>('Pivot Table for Data Exchange'!$C$576)*100</f>
        <v>0.41215271905071349</v>
      </c>
      <c r="P59" s="600">
        <f>('Pivot Table for Data Exchange'!$C$579)*100</f>
        <v>0</v>
      </c>
      <c r="Q59" s="135">
        <f t="shared" si="3"/>
        <v>100</v>
      </c>
      <c r="R59" s="135">
        <f t="shared" si="2"/>
        <v>99.999999999999986</v>
      </c>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row>
    <row r="60" spans="1:41" s="45" customFormat="1" ht="18" customHeight="1">
      <c r="A60" s="43" t="s">
        <v>219</v>
      </c>
      <c r="B60" s="106"/>
      <c r="C60" s="106"/>
      <c r="D60" s="107"/>
      <c r="E60" s="106"/>
      <c r="F60" s="107"/>
      <c r="G60" s="107"/>
      <c r="H60" s="106"/>
      <c r="I60" s="43" t="s">
        <v>219</v>
      </c>
      <c r="J60" s="106"/>
      <c r="K60" s="106"/>
      <c r="L60" s="107"/>
      <c r="M60" s="106"/>
      <c r="N60" s="107"/>
      <c r="O60" s="107"/>
      <c r="P60" s="106"/>
      <c r="Q60" s="135"/>
      <c r="R60" s="135"/>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row>
    <row r="61" spans="1:41" s="45" customFormat="1" ht="24" customHeight="1">
      <c r="A61" s="658" t="s">
        <v>223</v>
      </c>
      <c r="B61" s="663"/>
      <c r="C61" s="663"/>
      <c r="D61" s="663"/>
      <c r="E61" s="663"/>
      <c r="F61" s="663"/>
      <c r="G61" s="663"/>
      <c r="H61" s="663"/>
      <c r="I61" s="658" t="s">
        <v>223</v>
      </c>
      <c r="J61" s="663"/>
      <c r="K61" s="663"/>
      <c r="L61" s="663"/>
      <c r="M61" s="663"/>
      <c r="N61" s="663"/>
      <c r="O61" s="663"/>
      <c r="P61" s="663"/>
      <c r="Q61" s="135"/>
      <c r="R61" s="135"/>
    </row>
    <row r="62" spans="1:41" s="45" customFormat="1" ht="13.5" customHeight="1">
      <c r="A62" s="113"/>
      <c r="B62" s="114"/>
      <c r="H62" s="47"/>
      <c r="I62" s="113"/>
      <c r="P62" s="115"/>
      <c r="Q62" s="135"/>
      <c r="R62" s="135"/>
    </row>
    <row r="63" spans="1:41" s="45" customFormat="1" ht="13.5" customHeight="1">
      <c r="H63" s="49" t="s">
        <v>900</v>
      </c>
      <c r="P63" s="49" t="s">
        <v>900</v>
      </c>
      <c r="Q63" s="135"/>
      <c r="R63" s="135"/>
    </row>
    <row r="64" spans="1:41" ht="18">
      <c r="A64" s="16" t="s">
        <v>267</v>
      </c>
      <c r="B64" s="71"/>
      <c r="C64" s="71"/>
      <c r="D64" s="71"/>
      <c r="E64" s="71"/>
      <c r="F64" s="71"/>
      <c r="G64" s="71"/>
      <c r="H64" s="72"/>
      <c r="I64" s="16" t="s">
        <v>282</v>
      </c>
      <c r="J64" s="23"/>
      <c r="K64" s="23"/>
      <c r="L64" s="71"/>
      <c r="M64" s="23"/>
      <c r="N64" s="23"/>
      <c r="O64" s="23"/>
      <c r="P64" s="23"/>
      <c r="Q64" s="135"/>
      <c r="R64" s="135"/>
    </row>
    <row r="65" spans="1:41">
      <c r="A65" s="22"/>
      <c r="B65" s="23"/>
      <c r="C65" s="23"/>
      <c r="D65" s="23"/>
      <c r="E65" s="23"/>
      <c r="F65" s="23"/>
      <c r="G65" s="23"/>
      <c r="H65" s="73"/>
      <c r="I65" s="22"/>
      <c r="J65" s="23"/>
      <c r="K65" s="23"/>
      <c r="L65" s="23"/>
      <c r="M65" s="23"/>
      <c r="N65" s="23"/>
      <c r="O65" s="23"/>
      <c r="P65" s="23"/>
      <c r="Q65" s="135"/>
      <c r="R65" s="135"/>
    </row>
    <row r="66" spans="1:41" ht="15.75">
      <c r="A66" s="74" t="s">
        <v>205</v>
      </c>
      <c r="B66" s="23"/>
      <c r="C66" s="23"/>
      <c r="D66" s="23"/>
      <c r="E66" s="23"/>
      <c r="F66" s="23"/>
      <c r="G66" s="23"/>
      <c r="H66" s="73"/>
      <c r="I66" s="74" t="s">
        <v>206</v>
      </c>
      <c r="J66" s="23"/>
      <c r="K66" s="23"/>
      <c r="L66" s="23"/>
      <c r="M66" s="23"/>
      <c r="N66" s="23"/>
      <c r="O66" s="23"/>
      <c r="P66" s="23"/>
      <c r="Q66" s="135"/>
      <c r="R66" s="135"/>
    </row>
    <row r="67" spans="1:41" ht="15.75">
      <c r="A67" s="74" t="s">
        <v>259</v>
      </c>
      <c r="B67" s="23"/>
      <c r="C67" s="23"/>
      <c r="D67" s="23"/>
      <c r="E67" s="23"/>
      <c r="F67" s="23"/>
      <c r="G67" s="23"/>
      <c r="H67" s="73"/>
      <c r="I67" s="74" t="s">
        <v>259</v>
      </c>
      <c r="J67" s="23"/>
      <c r="K67" s="23"/>
      <c r="L67" s="23"/>
      <c r="M67" s="23"/>
      <c r="N67" s="23"/>
      <c r="O67" s="23"/>
      <c r="P67" s="23"/>
      <c r="Q67" s="135"/>
      <c r="R67" s="135"/>
    </row>
    <row r="68" spans="1:41">
      <c r="A68" s="76"/>
      <c r="B68" s="77"/>
      <c r="C68" s="77"/>
      <c r="D68" s="77"/>
      <c r="E68" s="77"/>
      <c r="F68" s="77"/>
      <c r="G68" s="77"/>
      <c r="H68" s="77"/>
      <c r="I68" s="78"/>
      <c r="L68" s="79"/>
      <c r="P68" s="76"/>
      <c r="Q68" s="135"/>
      <c r="R68" s="135"/>
    </row>
    <row r="69" spans="1:41" s="85" customFormat="1">
      <c r="A69" s="80"/>
      <c r="B69" s="81" t="s">
        <v>207</v>
      </c>
      <c r="C69" s="81"/>
      <c r="D69" s="81"/>
      <c r="E69" s="81"/>
      <c r="F69" s="81"/>
      <c r="G69" s="81"/>
      <c r="H69" s="82"/>
      <c r="I69" s="80"/>
      <c r="J69" s="81" t="s">
        <v>207</v>
      </c>
      <c r="K69" s="81"/>
      <c r="L69" s="81"/>
      <c r="M69" s="81"/>
      <c r="N69" s="81"/>
      <c r="O69" s="81"/>
      <c r="P69" s="82"/>
      <c r="Q69" s="135"/>
      <c r="R69" s="135"/>
    </row>
    <row r="70" spans="1:41" s="85" customFormat="1">
      <c r="A70" s="80"/>
      <c r="B70" s="81" t="s">
        <v>208</v>
      </c>
      <c r="C70" s="81"/>
      <c r="D70" s="653" t="s">
        <v>209</v>
      </c>
      <c r="E70" s="654"/>
      <c r="F70" s="654"/>
      <c r="G70" s="654"/>
      <c r="H70" s="86" t="s">
        <v>39</v>
      </c>
      <c r="I70" s="80"/>
      <c r="J70" s="81" t="s">
        <v>208</v>
      </c>
      <c r="K70" s="81"/>
      <c r="L70" s="653" t="s">
        <v>209</v>
      </c>
      <c r="M70" s="654"/>
      <c r="N70" s="654"/>
      <c r="O70" s="654"/>
      <c r="P70" s="86" t="s">
        <v>39</v>
      </c>
      <c r="Q70" s="135"/>
      <c r="R70" s="135"/>
    </row>
    <row r="71" spans="1:41" s="85" customFormat="1" ht="40.5" customHeight="1">
      <c r="A71" s="80"/>
      <c r="B71" s="87" t="s">
        <v>210</v>
      </c>
      <c r="C71" s="88" t="s">
        <v>211</v>
      </c>
      <c r="D71" s="89" t="s">
        <v>212</v>
      </c>
      <c r="E71" s="90" t="s">
        <v>7</v>
      </c>
      <c r="F71" s="87" t="s">
        <v>213</v>
      </c>
      <c r="G71" s="91" t="s">
        <v>214</v>
      </c>
      <c r="H71" s="92" t="s">
        <v>215</v>
      </c>
      <c r="I71" s="80"/>
      <c r="J71" s="87" t="s">
        <v>210</v>
      </c>
      <c r="K71" s="88" t="s">
        <v>211</v>
      </c>
      <c r="L71" s="89" t="s">
        <v>212</v>
      </c>
      <c r="M71" s="90" t="s">
        <v>7</v>
      </c>
      <c r="N71" s="87" t="s">
        <v>213</v>
      </c>
      <c r="O71" s="91" t="s">
        <v>214</v>
      </c>
      <c r="P71" s="92" t="s">
        <v>215</v>
      </c>
      <c r="Q71" s="135"/>
      <c r="R71" s="135"/>
      <c r="T71" s="111"/>
    </row>
    <row r="72" spans="1:41" ht="15.75" customHeight="1">
      <c r="A72" s="99" t="s">
        <v>175</v>
      </c>
      <c r="B72" s="597">
        <f>('Pivot Table for Data Exchange'!$D$6)*100</f>
        <v>98.763822402692142</v>
      </c>
      <c r="C72" s="597">
        <f>('Pivot Table for Data Exchange'!$D$9)*100</f>
        <v>0</v>
      </c>
      <c r="D72" s="603">
        <f>SUM(E72:G72)</f>
        <v>1.2361775973078521</v>
      </c>
      <c r="E72" s="597">
        <f>('Pivot Table for Data Exchange'!$D$12)*100</f>
        <v>1.2324523006811083</v>
      </c>
      <c r="F72" s="98">
        <f>('Pivot Table for Data Exchange'!$D$15)*100</f>
        <v>3.7252966267439045E-3</v>
      </c>
      <c r="G72" s="97">
        <f>('Pivot Table for Data Exchange'!$D$18)*100</f>
        <v>0</v>
      </c>
      <c r="H72" s="597">
        <f>('Pivot Table for Data Exchange'!$D$21)*100</f>
        <v>0</v>
      </c>
      <c r="I72" s="618" t="s">
        <v>175</v>
      </c>
      <c r="J72" s="597">
        <f>('Pivot Table for Data Exchange'!$D$24)*100</f>
        <v>83.691690962099131</v>
      </c>
      <c r="K72" s="597">
        <f>('Pivot Table for Data Exchange'!$D$27)*100</f>
        <v>0</v>
      </c>
      <c r="L72" s="603">
        <f>SUM(M72:O72)</f>
        <v>16.308309037900869</v>
      </c>
      <c r="M72" s="597">
        <f>('Pivot Table for Data Exchange'!$D$30)*100</f>
        <v>16.10331632653061</v>
      </c>
      <c r="N72" s="597">
        <f>('Pivot Table for Data Exchange'!$D$33)*100</f>
        <v>0.15032798833819241</v>
      </c>
      <c r="O72" s="97">
        <f>('Pivot Table for Data Exchange'!$D$36)*100</f>
        <v>5.466472303206997E-2</v>
      </c>
      <c r="P72" s="597">
        <f>('Pivot Table for Data Exchange'!$D$39)*100</f>
        <v>0</v>
      </c>
      <c r="Q72" s="135">
        <f t="shared" si="3"/>
        <v>100</v>
      </c>
      <c r="R72" s="135">
        <f t="shared" si="2"/>
        <v>100</v>
      </c>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row>
    <row r="73" spans="1:41" ht="15.75" customHeight="1">
      <c r="A73" s="102" t="s">
        <v>176</v>
      </c>
      <c r="B73" s="597">
        <f>('Pivot Table for Data Exchange'!$D$42)*100</f>
        <v>0</v>
      </c>
      <c r="C73" s="597">
        <f>('Pivot Table for Data Exchange'!$D$45)*100</f>
        <v>0</v>
      </c>
      <c r="D73" s="603">
        <f t="shared" ref="D73:D75" si="12">SUM(E73:G73)</f>
        <v>0</v>
      </c>
      <c r="E73" s="597">
        <f>('Pivot Table for Data Exchange'!$D$48)*100</f>
        <v>0</v>
      </c>
      <c r="F73" s="597">
        <f>('Pivot Table for Data Exchange'!$D$51)*100</f>
        <v>0</v>
      </c>
      <c r="G73" s="599">
        <f>('Pivot Table for Data Exchange'!$D$54)*100</f>
        <v>0</v>
      </c>
      <c r="H73" s="597">
        <f>('Pivot Table for Data Exchange'!$D$57)*100</f>
        <v>0</v>
      </c>
      <c r="I73" s="125" t="s">
        <v>176</v>
      </c>
      <c r="J73" s="597">
        <f>('Pivot Table for Data Exchange'!$D$60)*100</f>
        <v>0</v>
      </c>
      <c r="K73" s="597">
        <f>('Pivot Table for Data Exchange'!$D$63)*100</f>
        <v>0</v>
      </c>
      <c r="L73" s="603">
        <f t="shared" ref="L73:L75" si="13">SUM(M73:O73)</f>
        <v>0</v>
      </c>
      <c r="M73" s="597">
        <f>('Pivot Table for Data Exchange'!$D$66)*100</f>
        <v>0</v>
      </c>
      <c r="N73" s="597">
        <f>('Pivot Table for Data Exchange'!$D$69)*100</f>
        <v>0</v>
      </c>
      <c r="O73" s="599">
        <f>('Pivot Table for Data Exchange'!$D$72)*100</f>
        <v>0</v>
      </c>
      <c r="P73" s="597">
        <f>('Pivot Table for Data Exchange'!$D$75)*100</f>
        <v>0</v>
      </c>
      <c r="Q73" s="135">
        <f t="shared" si="3"/>
        <v>0</v>
      </c>
      <c r="R73" s="135">
        <f t="shared" si="2"/>
        <v>0</v>
      </c>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row>
    <row r="74" spans="1:41" ht="15.75" customHeight="1">
      <c r="A74" s="102" t="s">
        <v>177</v>
      </c>
      <c r="B74" s="597">
        <f>('Pivot Table for Data Exchange'!$D$78)*100</f>
        <v>0</v>
      </c>
      <c r="C74" s="597">
        <f>('Pivot Table for Data Exchange'!$D$81)*100</f>
        <v>0</v>
      </c>
      <c r="D74" s="603">
        <f t="shared" si="12"/>
        <v>0</v>
      </c>
      <c r="E74" s="597">
        <f>('Pivot Table for Data Exchange'!$D$84)*100</f>
        <v>0</v>
      </c>
      <c r="F74" s="597">
        <f>('Pivot Table for Data Exchange'!$D$87)*100</f>
        <v>0</v>
      </c>
      <c r="G74" s="599">
        <f>('Pivot Table for Data Exchange'!$D$90)*100</f>
        <v>0</v>
      </c>
      <c r="H74" s="597">
        <f>('Pivot Table for Data Exchange'!$D$93)*100</f>
        <v>0</v>
      </c>
      <c r="I74" s="125" t="s">
        <v>177</v>
      </c>
      <c r="J74" s="597">
        <f>('Pivot Table for Data Exchange'!$D$96)*100</f>
        <v>0</v>
      </c>
      <c r="K74" s="597">
        <f>('Pivot Table for Data Exchange'!$D$99)*100</f>
        <v>0</v>
      </c>
      <c r="L74" s="603">
        <f t="shared" si="13"/>
        <v>0</v>
      </c>
      <c r="M74" s="597">
        <f>('Pivot Table for Data Exchange'!$D$102)*100</f>
        <v>0</v>
      </c>
      <c r="N74" s="597">
        <f>('Pivot Table for Data Exchange'!$D$105)*100</f>
        <v>0</v>
      </c>
      <c r="O74" s="599">
        <f>('Pivot Table for Data Exchange'!$D$108)*100</f>
        <v>0</v>
      </c>
      <c r="P74" s="597">
        <f>('Pivot Table for Data Exchange'!$D$111)*100</f>
        <v>0</v>
      </c>
      <c r="Q74" s="135">
        <f t="shared" si="3"/>
        <v>0</v>
      </c>
      <c r="R74" s="135">
        <f t="shared" si="2"/>
        <v>0</v>
      </c>
      <c r="S74" s="100"/>
      <c r="T74" s="112"/>
      <c r="U74" s="100"/>
      <c r="V74" s="100"/>
      <c r="W74" s="100"/>
      <c r="X74" s="100"/>
      <c r="Y74" s="100"/>
      <c r="Z74" s="100"/>
      <c r="AA74" s="100"/>
      <c r="AB74" s="100"/>
      <c r="AC74" s="100"/>
      <c r="AD74" s="100"/>
      <c r="AE74" s="100"/>
      <c r="AF74" s="100"/>
      <c r="AG74" s="100"/>
      <c r="AH74" s="100"/>
      <c r="AI74" s="100"/>
      <c r="AJ74" s="100"/>
      <c r="AK74" s="100"/>
      <c r="AL74" s="100"/>
      <c r="AM74" s="100"/>
      <c r="AN74" s="100"/>
      <c r="AO74" s="100"/>
    </row>
    <row r="75" spans="1:41" ht="15.75" customHeight="1">
      <c r="A75" s="102" t="s">
        <v>217</v>
      </c>
      <c r="B75" s="597">
        <f>('Pivot Table for Data Exchange'!$D$114)*100</f>
        <v>74.551544538655108</v>
      </c>
      <c r="C75" s="597">
        <f>('Pivot Table for Data Exchange'!$D$117)*100</f>
        <v>18.952712478188815</v>
      </c>
      <c r="D75" s="603">
        <f t="shared" si="12"/>
        <v>6.4957429831560667</v>
      </c>
      <c r="E75" s="597">
        <f>('Pivot Table for Data Exchange'!$D$120)*100</f>
        <v>5.7634133295921854</v>
      </c>
      <c r="F75" s="597">
        <f>('Pivot Table for Data Exchange'!$D$123)*100</f>
        <v>0.32793497417731288</v>
      </c>
      <c r="G75" s="599">
        <f>('Pivot Table for Data Exchange'!$D$126)*100</f>
        <v>0.4043946793865687</v>
      </c>
      <c r="H75" s="597">
        <f>('Pivot Table for Data Exchange'!$D$129)*100</f>
        <v>0</v>
      </c>
      <c r="I75" s="125" t="s">
        <v>217</v>
      </c>
      <c r="J75" s="597">
        <f>('Pivot Table for Data Exchange'!$D$132)*100</f>
        <v>57.32067954317673</v>
      </c>
      <c r="K75" s="597">
        <f>('Pivot Table for Data Exchange'!$D$135)*100</f>
        <v>18.354594835372868</v>
      </c>
      <c r="L75" s="603">
        <f t="shared" si="13"/>
        <v>24.324725621450401</v>
      </c>
      <c r="M75" s="597">
        <f>('Pivot Table for Data Exchange'!$D$138)*100</f>
        <v>21.87851866516537</v>
      </c>
      <c r="N75" s="597">
        <f>('Pivot Table for Data Exchange'!$D$141)*100</f>
        <v>0.97625558346428432</v>
      </c>
      <c r="O75" s="599">
        <f>('Pivot Table for Data Exchange'!$D$144)*100</f>
        <v>1.4699513728207476</v>
      </c>
      <c r="P75" s="597">
        <f>('Pivot Table for Data Exchange'!$D$147)*100</f>
        <v>0</v>
      </c>
      <c r="Q75" s="135">
        <f t="shared" ref="Q75:Q138" si="14">SUM(B75,C75,D75,H75)</f>
        <v>99.999999999999986</v>
      </c>
      <c r="R75" s="135">
        <f t="shared" ref="R75:R138" si="15">SUM(J75,K75,L75,P75)</f>
        <v>100</v>
      </c>
      <c r="S75" s="100"/>
      <c r="U75" s="100"/>
      <c r="V75" s="100"/>
      <c r="W75" s="100"/>
      <c r="X75" s="100"/>
      <c r="Y75" s="100"/>
      <c r="Z75" s="100"/>
      <c r="AA75" s="100"/>
      <c r="AB75" s="100"/>
      <c r="AC75" s="100"/>
      <c r="AD75" s="100"/>
      <c r="AE75" s="100"/>
      <c r="AF75" s="100"/>
      <c r="AG75" s="100"/>
      <c r="AH75" s="100"/>
      <c r="AI75" s="100"/>
      <c r="AJ75" s="100"/>
      <c r="AK75" s="100"/>
      <c r="AL75" s="100"/>
      <c r="AM75" s="100"/>
      <c r="AN75" s="100"/>
      <c r="AO75" s="100"/>
    </row>
    <row r="76" spans="1:41" ht="9" customHeight="1">
      <c r="A76" s="102"/>
      <c r="B76" s="597"/>
      <c r="C76" s="597"/>
      <c r="D76" s="603"/>
      <c r="E76" s="597"/>
      <c r="F76" s="597"/>
      <c r="G76" s="599"/>
      <c r="H76" s="597"/>
      <c r="I76" s="125"/>
      <c r="J76" s="597"/>
      <c r="K76" s="597"/>
      <c r="L76" s="603"/>
      <c r="M76" s="597"/>
      <c r="N76" s="597"/>
      <c r="O76" s="599"/>
      <c r="P76" s="597"/>
      <c r="Q76" s="135">
        <f t="shared" si="14"/>
        <v>0</v>
      </c>
      <c r="R76" s="135">
        <f t="shared" si="15"/>
        <v>0</v>
      </c>
      <c r="S76" s="100"/>
      <c r="U76" s="100"/>
      <c r="V76" s="100"/>
      <c r="W76" s="100"/>
      <c r="X76" s="100"/>
      <c r="Y76" s="100"/>
      <c r="Z76" s="100"/>
      <c r="AA76" s="100"/>
      <c r="AB76" s="100"/>
      <c r="AC76" s="100"/>
      <c r="AD76" s="100"/>
      <c r="AE76" s="100"/>
      <c r="AF76" s="100"/>
      <c r="AG76" s="100"/>
      <c r="AH76" s="100"/>
      <c r="AI76" s="100"/>
      <c r="AJ76" s="100"/>
      <c r="AK76" s="100"/>
      <c r="AL76" s="100"/>
      <c r="AM76" s="100"/>
      <c r="AN76" s="100"/>
      <c r="AO76" s="100"/>
    </row>
    <row r="77" spans="1:41" ht="15.75" customHeight="1">
      <c r="A77" s="102" t="s">
        <v>179</v>
      </c>
      <c r="B77" s="597">
        <f>('Pivot Table for Data Exchange'!$D$150)*100</f>
        <v>0</v>
      </c>
      <c r="C77" s="597">
        <f>('Pivot Table for Data Exchange'!$D$153)*100</f>
        <v>0</v>
      </c>
      <c r="D77" s="603">
        <f t="shared" ref="D77:D80" si="16">SUM(E77:G77)</f>
        <v>0</v>
      </c>
      <c r="E77" s="597">
        <f>('Pivot Table for Data Exchange'!$D$156)*100</f>
        <v>0</v>
      </c>
      <c r="F77" s="597">
        <f>('Pivot Table for Data Exchange'!$D$159)*100</f>
        <v>0</v>
      </c>
      <c r="G77" s="599">
        <f>('Pivot Table for Data Exchange'!$D$162)*100</f>
        <v>0</v>
      </c>
      <c r="H77" s="597">
        <f>('Pivot Table for Data Exchange'!$D$165)*100</f>
        <v>0</v>
      </c>
      <c r="I77" s="125" t="s">
        <v>179</v>
      </c>
      <c r="J77" s="597">
        <f>('Pivot Table for Data Exchange'!$D$168)*100</f>
        <v>0</v>
      </c>
      <c r="K77" s="597">
        <f>('Pivot Table for Data Exchange'!$D$171)*100</f>
        <v>0</v>
      </c>
      <c r="L77" s="603">
        <f t="shared" ref="L77:L80" si="17">SUM(M77:O77)</f>
        <v>0</v>
      </c>
      <c r="M77" s="597">
        <f>('Pivot Table for Data Exchange'!$D$174)*100</f>
        <v>0</v>
      </c>
      <c r="N77" s="597">
        <f>('Pivot Table for Data Exchange'!$D$177)*100</f>
        <v>0</v>
      </c>
      <c r="O77" s="599">
        <f>('Pivot Table for Data Exchange'!$D$180)*100</f>
        <v>0</v>
      </c>
      <c r="P77" s="597">
        <f>('Pivot Table for Data Exchange'!$D$183)*100</f>
        <v>0</v>
      </c>
      <c r="Q77" s="135">
        <f t="shared" si="14"/>
        <v>0</v>
      </c>
      <c r="R77" s="135">
        <f t="shared" si="15"/>
        <v>0</v>
      </c>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row>
    <row r="78" spans="1:41" ht="15.75" customHeight="1">
      <c r="A78" s="102" t="s">
        <v>180</v>
      </c>
      <c r="B78" s="597">
        <f>('Pivot Table for Data Exchange'!$D$186)*100</f>
        <v>0</v>
      </c>
      <c r="C78" s="597">
        <f>('Pivot Table for Data Exchange'!$D$189)*100</f>
        <v>0</v>
      </c>
      <c r="D78" s="603">
        <f t="shared" si="16"/>
        <v>0</v>
      </c>
      <c r="E78" s="597">
        <f>('Pivot Table for Data Exchange'!$D$192)*100</f>
        <v>0</v>
      </c>
      <c r="F78" s="597">
        <f>('Pivot Table for Data Exchange'!$D$195)*100</f>
        <v>0</v>
      </c>
      <c r="G78" s="599">
        <f>('Pivot Table for Data Exchange'!$D$198)*100</f>
        <v>0</v>
      </c>
      <c r="H78" s="597">
        <f>('Pivot Table for Data Exchange'!$D$201)*100</f>
        <v>0</v>
      </c>
      <c r="I78" s="125" t="s">
        <v>180</v>
      </c>
      <c r="J78" s="597">
        <f>('Pivot Table for Data Exchange'!$D$204)*100</f>
        <v>0</v>
      </c>
      <c r="K78" s="597">
        <f>('Pivot Table for Data Exchange'!$D$207)*100</f>
        <v>0</v>
      </c>
      <c r="L78" s="603">
        <f t="shared" si="17"/>
        <v>0</v>
      </c>
      <c r="M78" s="597">
        <f>('Pivot Table for Data Exchange'!$D$210)*100</f>
        <v>0</v>
      </c>
      <c r="N78" s="597">
        <f>('Pivot Table for Data Exchange'!$D$213)*100</f>
        <v>0</v>
      </c>
      <c r="O78" s="599">
        <f>('Pivot Table for Data Exchange'!$D$216)*100</f>
        <v>0</v>
      </c>
      <c r="P78" s="597">
        <f>('Pivot Table for Data Exchange'!$D$219)*100</f>
        <v>0</v>
      </c>
      <c r="Q78" s="135">
        <f t="shared" si="14"/>
        <v>0</v>
      </c>
      <c r="R78" s="135">
        <f t="shared" si="15"/>
        <v>0</v>
      </c>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row>
    <row r="79" spans="1:41" ht="15.75" customHeight="1">
      <c r="A79" s="102" t="s">
        <v>181</v>
      </c>
      <c r="B79" s="597">
        <f>('Pivot Table for Data Exchange'!$D$222)*100</f>
        <v>0</v>
      </c>
      <c r="C79" s="597">
        <f>('Pivot Table for Data Exchange'!$D$225)*100</f>
        <v>0</v>
      </c>
      <c r="D79" s="603">
        <f t="shared" si="16"/>
        <v>0</v>
      </c>
      <c r="E79" s="597">
        <f>('Pivot Table for Data Exchange'!$D$228)*100</f>
        <v>0</v>
      </c>
      <c r="F79" s="597">
        <f>('Pivot Table for Data Exchange'!$D$231)*100</f>
        <v>0</v>
      </c>
      <c r="G79" s="599">
        <f>('Pivot Table for Data Exchange'!$D$234)*100</f>
        <v>0</v>
      </c>
      <c r="H79" s="597">
        <f>('Pivot Table for Data Exchange'!$D$237)*100</f>
        <v>0</v>
      </c>
      <c r="I79" s="125" t="s">
        <v>181</v>
      </c>
      <c r="J79" s="597">
        <f>('Pivot Table for Data Exchange'!$D$240)*100</f>
        <v>0</v>
      </c>
      <c r="K79" s="597">
        <f>('Pivot Table for Data Exchange'!$D$243)*100</f>
        <v>0</v>
      </c>
      <c r="L79" s="603">
        <f t="shared" si="17"/>
        <v>0</v>
      </c>
      <c r="M79" s="597">
        <f>('Pivot Table for Data Exchange'!$D$246)*100</f>
        <v>0</v>
      </c>
      <c r="N79" s="597">
        <f>('Pivot Table for Data Exchange'!$D$249)*100</f>
        <v>0</v>
      </c>
      <c r="O79" s="599">
        <f>('Pivot Table for Data Exchange'!$D$252)*100</f>
        <v>0</v>
      </c>
      <c r="P79" s="597">
        <f>('Pivot Table for Data Exchange'!$D$255)*100</f>
        <v>0</v>
      </c>
      <c r="Q79" s="135">
        <f t="shared" si="14"/>
        <v>0</v>
      </c>
      <c r="R79" s="135">
        <f t="shared" si="15"/>
        <v>0</v>
      </c>
      <c r="S79" s="100"/>
      <c r="T79" s="112"/>
      <c r="U79" s="100"/>
      <c r="V79" s="100"/>
      <c r="W79" s="100"/>
      <c r="X79" s="100"/>
      <c r="Y79" s="100"/>
      <c r="Z79" s="100"/>
      <c r="AA79" s="100"/>
      <c r="AB79" s="100"/>
      <c r="AC79" s="100"/>
      <c r="AD79" s="100"/>
      <c r="AE79" s="100"/>
      <c r="AF79" s="100"/>
      <c r="AG79" s="100"/>
      <c r="AH79" s="100"/>
      <c r="AI79" s="100"/>
      <c r="AJ79" s="100"/>
      <c r="AK79" s="100"/>
      <c r="AL79" s="100"/>
      <c r="AM79" s="100"/>
      <c r="AN79" s="100"/>
      <c r="AO79" s="100"/>
    </row>
    <row r="80" spans="1:41" ht="15.75" customHeight="1">
      <c r="A80" s="102" t="s">
        <v>222</v>
      </c>
      <c r="B80" s="597">
        <f>('Pivot Table for Data Exchange'!$D$258)*100</f>
        <v>93.847220499511806</v>
      </c>
      <c r="C80" s="597">
        <f>('Pivot Table for Data Exchange'!$D$261)*100</f>
        <v>1.3018390066162682</v>
      </c>
      <c r="D80" s="603">
        <f t="shared" si="16"/>
        <v>4.8509404938719216</v>
      </c>
      <c r="E80" s="597">
        <f>('Pivot Table for Data Exchange'!$D$264)*100</f>
        <v>4.8509404938719216</v>
      </c>
      <c r="F80" s="597">
        <f>('Pivot Table for Data Exchange'!$D$267)*100</f>
        <v>0</v>
      </c>
      <c r="G80" s="599">
        <f>('Pivot Table for Data Exchange'!$D$270)*100</f>
        <v>0</v>
      </c>
      <c r="H80" s="597">
        <f>('Pivot Table for Data Exchange'!$D$273)*100</f>
        <v>0</v>
      </c>
      <c r="I80" s="125" t="s">
        <v>222</v>
      </c>
      <c r="J80" s="597">
        <f>('Pivot Table for Data Exchange'!$D$276)*100</f>
        <v>80.967566452193822</v>
      </c>
      <c r="K80" s="597">
        <f>('Pivot Table for Data Exchange'!$D$279)*100</f>
        <v>6.6968054174717215</v>
      </c>
      <c r="L80" s="603">
        <f t="shared" si="17"/>
        <v>12.335628130334467</v>
      </c>
      <c r="M80" s="597">
        <f>('Pivot Table for Data Exchange'!$D$282)*100</f>
        <v>11.375189930405748</v>
      </c>
      <c r="N80" s="597">
        <f>('Pivot Table for Data Exchange'!$D$285)*100</f>
        <v>0.83288000150068475</v>
      </c>
      <c r="O80" s="599">
        <f>('Pivot Table for Data Exchange'!$D$288)*100</f>
        <v>0.12755819842803279</v>
      </c>
      <c r="P80" s="597">
        <f>('Pivot Table for Data Exchange'!$D$291)*100</f>
        <v>0</v>
      </c>
      <c r="Q80" s="135">
        <f t="shared" si="14"/>
        <v>99.999999999999986</v>
      </c>
      <c r="R80" s="135">
        <f t="shared" si="15"/>
        <v>100.00000000000001</v>
      </c>
      <c r="S80" s="100"/>
      <c r="U80" s="100"/>
      <c r="V80" s="100"/>
      <c r="W80" s="100"/>
      <c r="X80" s="100"/>
      <c r="Y80" s="100"/>
      <c r="Z80" s="100"/>
      <c r="AA80" s="100"/>
      <c r="AB80" s="100"/>
      <c r="AC80" s="100"/>
      <c r="AD80" s="100"/>
      <c r="AE80" s="100"/>
      <c r="AF80" s="100"/>
      <c r="AG80" s="100"/>
      <c r="AH80" s="100"/>
      <c r="AI80" s="100"/>
      <c r="AJ80" s="100"/>
      <c r="AK80" s="100"/>
      <c r="AL80" s="100"/>
      <c r="AM80" s="100"/>
      <c r="AN80" s="100"/>
      <c r="AO80" s="100"/>
    </row>
    <row r="81" spans="1:41" ht="8.25" customHeight="1">
      <c r="A81" s="102"/>
      <c r="B81" s="597"/>
      <c r="C81" s="597"/>
      <c r="D81" s="603"/>
      <c r="E81" s="597"/>
      <c r="F81" s="597"/>
      <c r="G81" s="599"/>
      <c r="H81" s="597"/>
      <c r="I81" s="125"/>
      <c r="J81" s="597"/>
      <c r="K81" s="597"/>
      <c r="L81" s="603"/>
      <c r="M81" s="597"/>
      <c r="N81" s="597"/>
      <c r="O81" s="599"/>
      <c r="P81" s="597"/>
      <c r="Q81" s="135">
        <f t="shared" si="14"/>
        <v>0</v>
      </c>
      <c r="R81" s="135">
        <f t="shared" si="15"/>
        <v>0</v>
      </c>
      <c r="S81" s="100"/>
      <c r="U81" s="100"/>
      <c r="V81" s="100"/>
      <c r="W81" s="100"/>
      <c r="X81" s="100"/>
      <c r="Y81" s="100"/>
      <c r="Z81" s="100"/>
      <c r="AA81" s="100"/>
      <c r="AB81" s="100"/>
      <c r="AC81" s="100"/>
      <c r="AD81" s="100"/>
      <c r="AE81" s="100"/>
      <c r="AF81" s="100"/>
      <c r="AG81" s="100"/>
      <c r="AH81" s="100"/>
      <c r="AI81" s="100"/>
      <c r="AJ81" s="100"/>
      <c r="AK81" s="100"/>
      <c r="AL81" s="100"/>
      <c r="AM81" s="100"/>
      <c r="AN81" s="100"/>
      <c r="AO81" s="100"/>
    </row>
    <row r="82" spans="1:41" ht="15.75" customHeight="1">
      <c r="A82" s="102" t="s">
        <v>183</v>
      </c>
      <c r="B82" s="597">
        <f>('Pivot Table for Data Exchange'!$D$294)*100</f>
        <v>90.144906446167028</v>
      </c>
      <c r="C82" s="597">
        <f>('Pivot Table for Data Exchange'!$D$297)*100</f>
        <v>6.2641785963936671</v>
      </c>
      <c r="D82" s="603">
        <f t="shared" ref="D82:D84" si="18">SUM(E82:G82)</f>
        <v>3.5898755185284319</v>
      </c>
      <c r="E82" s="597">
        <f>('Pivot Table for Data Exchange'!$D$300)*100</f>
        <v>2.1578751789783874</v>
      </c>
      <c r="F82" s="597">
        <f>('Pivot Table for Data Exchange'!$D$303)*100</f>
        <v>1.4320003395500442</v>
      </c>
      <c r="G82" s="599">
        <f>('Pivot Table for Data Exchange'!$D$306)*100</f>
        <v>0</v>
      </c>
      <c r="H82" s="98">
        <f>('Pivot Table for Data Exchange'!$D$309)*100</f>
        <v>1.0394389108759092E-3</v>
      </c>
      <c r="I82" s="125" t="s">
        <v>183</v>
      </c>
      <c r="J82" s="597">
        <f>('Pivot Table for Data Exchange'!$D$312)*100</f>
        <v>82.114228742344395</v>
      </c>
      <c r="K82" s="597">
        <f>('Pivot Table for Data Exchange'!$D$315)*100</f>
        <v>13.914826947728242</v>
      </c>
      <c r="L82" s="603">
        <f t="shared" ref="L82:L84" si="19">SUM(M82:O82)</f>
        <v>3.967525993448227</v>
      </c>
      <c r="M82" s="597">
        <f>('Pivot Table for Data Exchange'!$D$318)*100</f>
        <v>2.7779518587095855</v>
      </c>
      <c r="N82" s="597">
        <f>('Pivot Table for Data Exchange'!$D$321)*100</f>
        <v>1.1895741347386413</v>
      </c>
      <c r="O82" s="599">
        <f>('Pivot Table for Data Exchange'!$D$324)*100</f>
        <v>0</v>
      </c>
      <c r="P82" s="98">
        <f>('Pivot Table for Data Exchange'!$D$327)*100</f>
        <v>3.4183164791340261E-3</v>
      </c>
      <c r="Q82" s="135">
        <f t="shared" si="14"/>
        <v>100</v>
      </c>
      <c r="R82" s="135">
        <f t="shared" si="15"/>
        <v>100</v>
      </c>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row>
    <row r="83" spans="1:41" ht="15.75" customHeight="1">
      <c r="A83" s="102" t="s">
        <v>184</v>
      </c>
      <c r="B83" s="597">
        <f>('Pivot Table for Data Exchange'!$D$330)*100</f>
        <v>96.244953822026019</v>
      </c>
      <c r="C83" s="597">
        <f>('Pivot Table for Data Exchange'!$D$333)*100</f>
        <v>0.10183114544609666</v>
      </c>
      <c r="D83" s="603">
        <f t="shared" si="18"/>
        <v>3.6532150325278812</v>
      </c>
      <c r="E83" s="597">
        <f>('Pivot Table for Data Exchange'!$D$336)*100</f>
        <v>3.6532150325278812</v>
      </c>
      <c r="F83" s="597">
        <f>('Pivot Table for Data Exchange'!$D$339)*100</f>
        <v>0</v>
      </c>
      <c r="G83" s="599">
        <f>('Pivot Table for Data Exchange'!$D$342)*100</f>
        <v>0</v>
      </c>
      <c r="H83" s="597">
        <f>('Pivot Table for Data Exchange'!$D$345)*100</f>
        <v>0</v>
      </c>
      <c r="I83" s="125" t="s">
        <v>184</v>
      </c>
      <c r="J83" s="597">
        <f>('Pivot Table for Data Exchange'!$D$348)*100</f>
        <v>81.437493327639586</v>
      </c>
      <c r="K83" s="597">
        <f>('Pivot Table for Data Exchange'!$D$351)*100</f>
        <v>5.0322942244048257</v>
      </c>
      <c r="L83" s="603">
        <f t="shared" si="19"/>
        <v>13.530212447955588</v>
      </c>
      <c r="M83" s="597">
        <f>('Pivot Table for Data Exchange'!$D$354)*100</f>
        <v>13.498185117967331</v>
      </c>
      <c r="N83" s="104">
        <f>('Pivot Table for Data Exchange'!$D$357)*100</f>
        <v>3.2027329988256643E-2</v>
      </c>
      <c r="O83" s="599">
        <f>('Pivot Table for Data Exchange'!$D$360)*100</f>
        <v>0</v>
      </c>
      <c r="P83" s="597">
        <f>('Pivot Table for Data Exchange'!$D$363)*100</f>
        <v>0</v>
      </c>
      <c r="Q83" s="135">
        <f t="shared" si="14"/>
        <v>100</v>
      </c>
      <c r="R83" s="135">
        <f t="shared" si="15"/>
        <v>100</v>
      </c>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row>
    <row r="84" spans="1:41" ht="15.75" customHeight="1">
      <c r="A84" s="102" t="s">
        <v>185</v>
      </c>
      <c r="B84" s="597">
        <f>('Pivot Table for Data Exchange'!$D$366)*100</f>
        <v>0</v>
      </c>
      <c r="C84" s="597">
        <f>('Pivot Table for Data Exchange'!$D$369)*100</f>
        <v>0</v>
      </c>
      <c r="D84" s="603">
        <f t="shared" si="18"/>
        <v>0</v>
      </c>
      <c r="E84" s="597">
        <f>('Pivot Table for Data Exchange'!$D$372)*100</f>
        <v>0</v>
      </c>
      <c r="F84" s="597">
        <f>('Pivot Table for Data Exchange'!$D$375)*100</f>
        <v>0</v>
      </c>
      <c r="G84" s="599">
        <f>('Pivot Table for Data Exchange'!$D$378)*100</f>
        <v>0</v>
      </c>
      <c r="H84" s="597">
        <f>('Pivot Table for Data Exchange'!$D$381)*100</f>
        <v>0</v>
      </c>
      <c r="I84" s="125" t="s">
        <v>185</v>
      </c>
      <c r="J84" s="597">
        <f>('Pivot Table for Data Exchange'!$D$384)*100</f>
        <v>0</v>
      </c>
      <c r="K84" s="597">
        <f>('Pivot Table for Data Exchange'!$D$387)*100</f>
        <v>0</v>
      </c>
      <c r="L84" s="603">
        <f t="shared" si="19"/>
        <v>0</v>
      </c>
      <c r="M84" s="597">
        <f>('Pivot Table for Data Exchange'!$D$390)*100</f>
        <v>0</v>
      </c>
      <c r="N84" s="597">
        <f>('Pivot Table for Data Exchange'!$D$393)*100</f>
        <v>0</v>
      </c>
      <c r="O84" s="599">
        <f>('Pivot Table for Data Exchange'!$D$396)*100</f>
        <v>0</v>
      </c>
      <c r="P84" s="597">
        <f>('Pivot Table for Data Exchange'!$D$399)*100</f>
        <v>0</v>
      </c>
      <c r="Q84" s="135">
        <f t="shared" si="14"/>
        <v>0</v>
      </c>
      <c r="R84" s="135">
        <f t="shared" si="15"/>
        <v>0</v>
      </c>
      <c r="S84" s="100"/>
      <c r="T84" s="112"/>
      <c r="U84" s="100"/>
      <c r="V84" s="100"/>
      <c r="W84" s="100"/>
      <c r="X84" s="100"/>
      <c r="Y84" s="100"/>
      <c r="Z84" s="100"/>
      <c r="AA84" s="100"/>
      <c r="AB84" s="100"/>
      <c r="AC84" s="100"/>
      <c r="AD84" s="100"/>
      <c r="AE84" s="100"/>
      <c r="AF84" s="100"/>
      <c r="AG84" s="100"/>
      <c r="AH84" s="100"/>
      <c r="AI84" s="100"/>
      <c r="AJ84" s="100"/>
      <c r="AK84" s="100"/>
      <c r="AL84" s="100"/>
      <c r="AM84" s="100"/>
      <c r="AN84" s="100"/>
      <c r="AO84" s="100"/>
    </row>
    <row r="85" spans="1:41" ht="15.75" customHeight="1">
      <c r="A85" s="102" t="s">
        <v>186</v>
      </c>
      <c r="B85" s="597">
        <f>('Pivot Table for Data Exchange'!$D$402)*100</f>
        <v>0</v>
      </c>
      <c r="C85" s="597">
        <f>('Pivot Table for Data Exchange'!$D$405)*100</f>
        <v>0</v>
      </c>
      <c r="D85" s="603">
        <f>SUM(E85:G85)</f>
        <v>0</v>
      </c>
      <c r="E85" s="597">
        <f>('Pivot Table for Data Exchange'!$D$408)*100</f>
        <v>0</v>
      </c>
      <c r="F85" s="597">
        <f>('Pivot Table for Data Exchange'!$D$411)*100</f>
        <v>0</v>
      </c>
      <c r="G85" s="599">
        <f>('Pivot Table for Data Exchange'!$D$414)*100</f>
        <v>0</v>
      </c>
      <c r="H85" s="597">
        <f>('Pivot Table for Data Exchange'!$D$417)*100</f>
        <v>0</v>
      </c>
      <c r="I85" s="125" t="s">
        <v>186</v>
      </c>
      <c r="J85" s="597">
        <f>('Pivot Table for Data Exchange'!$D$420)*100</f>
        <v>0</v>
      </c>
      <c r="K85" s="597">
        <f>('Pivot Table for Data Exchange'!$D$423)*100</f>
        <v>0</v>
      </c>
      <c r="L85" s="603">
        <f>SUM(M85:O85)</f>
        <v>0</v>
      </c>
      <c r="M85" s="597">
        <f>('Pivot Table for Data Exchange'!$D$426)*100</f>
        <v>0</v>
      </c>
      <c r="N85" s="597">
        <f>('Pivot Table for Data Exchange'!$D$429)*100</f>
        <v>0</v>
      </c>
      <c r="O85" s="599">
        <f>('Pivot Table for Data Exchange'!$D$432)*100</f>
        <v>0</v>
      </c>
      <c r="P85" s="597">
        <f>('Pivot Table for Data Exchange'!$D$435)*100</f>
        <v>0</v>
      </c>
      <c r="Q85" s="135">
        <f t="shared" si="14"/>
        <v>0</v>
      </c>
      <c r="R85" s="135">
        <f t="shared" si="15"/>
        <v>0</v>
      </c>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row>
    <row r="86" spans="1:41" ht="8.25" customHeight="1">
      <c r="A86" s="102"/>
      <c r="B86" s="597"/>
      <c r="C86" s="597"/>
      <c r="D86" s="603"/>
      <c r="E86" s="597"/>
      <c r="F86" s="597"/>
      <c r="G86" s="599"/>
      <c r="H86" s="597"/>
      <c r="I86" s="125"/>
      <c r="J86" s="597"/>
      <c r="K86" s="597"/>
      <c r="L86" s="603"/>
      <c r="M86" s="597"/>
      <c r="N86" s="597"/>
      <c r="O86" s="599"/>
      <c r="P86" s="597"/>
      <c r="Q86" s="135">
        <f t="shared" si="14"/>
        <v>0</v>
      </c>
      <c r="R86" s="135">
        <f t="shared" si="15"/>
        <v>0</v>
      </c>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row>
    <row r="87" spans="1:41" ht="15.75" customHeight="1">
      <c r="A87" s="102" t="s">
        <v>187</v>
      </c>
      <c r="B87" s="597">
        <f>('Pivot Table for Data Exchange'!$D$438)*100</f>
        <v>84.57030393403798</v>
      </c>
      <c r="C87" s="597">
        <f>('Pivot Table for Data Exchange'!$D$441)*100</f>
        <v>7.8176395772115255</v>
      </c>
      <c r="D87" s="603">
        <f>SUM(E87:G87)</f>
        <v>7.3346563747204065</v>
      </c>
      <c r="E87" s="597">
        <f>('Pivot Table for Data Exchange'!$D$444)*100</f>
        <v>6.8730538134292347</v>
      </c>
      <c r="F87" s="597">
        <f>('Pivot Table for Data Exchange'!$D$447)*100</f>
        <v>9.3745888338230776E-2</v>
      </c>
      <c r="G87" s="599">
        <f>('Pivot Table for Data Exchange'!$D$450)*100</f>
        <v>0.36785667295294067</v>
      </c>
      <c r="H87" s="597">
        <f>('Pivot Table for Data Exchange'!$D$453)*100</f>
        <v>0.27740011403008641</v>
      </c>
      <c r="I87" s="125" t="s">
        <v>187</v>
      </c>
      <c r="J87" s="597">
        <f>('Pivot Table for Data Exchange'!$D$456)*100</f>
        <v>80.326272218164107</v>
      </c>
      <c r="K87" s="597">
        <f>('Pivot Table for Data Exchange'!$D$459)*100</f>
        <v>4.5258095933771605</v>
      </c>
      <c r="L87" s="603">
        <f>SUM(M87:O87)</f>
        <v>6.0110786462137815</v>
      </c>
      <c r="M87" s="597">
        <f>('Pivot Table for Data Exchange'!$D$462)*100</f>
        <v>5.5849768687606529</v>
      </c>
      <c r="N87" s="597">
        <f>('Pivot Table for Data Exchange'!$D$465)*100</f>
        <v>0</v>
      </c>
      <c r="O87" s="599">
        <f>('Pivot Table for Data Exchange'!$D$468)*100</f>
        <v>0.42610177745312877</v>
      </c>
      <c r="P87" s="597">
        <f>('Pivot Table for Data Exchange'!$D$471)*100</f>
        <v>9.1368395422449478</v>
      </c>
      <c r="Q87" s="135">
        <f t="shared" si="14"/>
        <v>100</v>
      </c>
      <c r="R87" s="135">
        <f t="shared" si="15"/>
        <v>99.999999999999986</v>
      </c>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row>
    <row r="88" spans="1:41" ht="15.75" customHeight="1">
      <c r="A88" s="102" t="s">
        <v>188</v>
      </c>
      <c r="B88" s="597">
        <f>('Pivot Table for Data Exchange'!$D$474)*100</f>
        <v>92.187414254019771</v>
      </c>
      <c r="C88" s="597">
        <f>('Pivot Table for Data Exchange'!$D$477)*100</f>
        <v>0.83789991925178542</v>
      </c>
      <c r="D88" s="603">
        <f>SUM(E88:G88)</f>
        <v>6.9746858267284422</v>
      </c>
      <c r="E88" s="597">
        <f>('Pivot Table for Data Exchange'!$D$480)*100</f>
        <v>6.517713649584107</v>
      </c>
      <c r="F88" s="597">
        <f>('Pivot Table for Data Exchange'!$D$483)*100</f>
        <v>0.45226839765751781</v>
      </c>
      <c r="G88" s="630">
        <f>('Pivot Table for Data Exchange'!$D$486)*100</f>
        <v>4.7037794868176582E-3</v>
      </c>
      <c r="H88" s="597">
        <f>('Pivot Table for Data Exchange'!$D$489)*100</f>
        <v>0</v>
      </c>
      <c r="I88" s="125" t="s">
        <v>188</v>
      </c>
      <c r="J88" s="597">
        <f>('Pivot Table for Data Exchange'!$D$492)*100</f>
        <v>69.560443500318186</v>
      </c>
      <c r="K88" s="597">
        <f>('Pivot Table for Data Exchange'!$D$495)*100</f>
        <v>2.5858900929486319</v>
      </c>
      <c r="L88" s="603">
        <f>SUM(M88:O88)</f>
        <v>27.853666406733172</v>
      </c>
      <c r="M88" s="597">
        <f>('Pivot Table for Data Exchange'!$D$498)*100</f>
        <v>27.576254627264333</v>
      </c>
      <c r="N88" s="597">
        <f>('Pivot Table for Data Exchange'!$D$501)*100</f>
        <v>0.27741177946883938</v>
      </c>
      <c r="O88" s="599">
        <f>('Pivot Table for Data Exchange'!$D$504)*100</f>
        <v>0</v>
      </c>
      <c r="P88" s="597">
        <f>('Pivot Table for Data Exchange'!$D$507)*100</f>
        <v>0</v>
      </c>
      <c r="Q88" s="135">
        <f t="shared" si="14"/>
        <v>100</v>
      </c>
      <c r="R88" s="135">
        <f t="shared" si="15"/>
        <v>99.999999999999986</v>
      </c>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row>
    <row r="89" spans="1:41" ht="15.75" customHeight="1">
      <c r="A89" s="102" t="s">
        <v>189</v>
      </c>
      <c r="B89" s="597">
        <f>('Pivot Table for Data Exchange'!$D$510)*100</f>
        <v>97.04829670860444</v>
      </c>
      <c r="C89" s="597">
        <f>('Pivot Table for Data Exchange'!$D$513)*100</f>
        <v>1.0465896876860941</v>
      </c>
      <c r="D89" s="603">
        <f t="shared" ref="D89" si="20">SUM(E89:G89)</f>
        <v>1.9051136037094689</v>
      </c>
      <c r="E89" s="597">
        <f>('Pivot Table for Data Exchange'!$D$516)*100</f>
        <v>1.9051136037094689</v>
      </c>
      <c r="F89" s="597">
        <f>('Pivot Table for Data Exchange'!$D$519)*100</f>
        <v>0</v>
      </c>
      <c r="G89" s="599">
        <f>('Pivot Table for Data Exchange'!$D$522)*100</f>
        <v>0</v>
      </c>
      <c r="H89" s="597">
        <f>('Pivot Table for Data Exchange'!$D$525)*100</f>
        <v>0</v>
      </c>
      <c r="I89" s="125" t="s">
        <v>189</v>
      </c>
      <c r="J89" s="597">
        <f>('Pivot Table for Data Exchange'!$D$528)*100</f>
        <v>85.800830847519293</v>
      </c>
      <c r="K89" s="597">
        <f>('Pivot Table for Data Exchange'!$D$531)*100</f>
        <v>10.186978072503534</v>
      </c>
      <c r="L89" s="603">
        <f t="shared" ref="L89" si="21">SUM(M89:O89)</f>
        <v>4.0121910799771729</v>
      </c>
      <c r="M89" s="597">
        <f>('Pivot Table for Data Exchange'!$D$534)*100</f>
        <v>4.0121910799771729</v>
      </c>
      <c r="N89" s="597">
        <f>('Pivot Table for Data Exchange'!$D$537)*100</f>
        <v>0</v>
      </c>
      <c r="O89" s="599">
        <f>('Pivot Table for Data Exchange'!$D$540)*100</f>
        <v>0</v>
      </c>
      <c r="P89" s="597">
        <f>('Pivot Table for Data Exchange'!$D$543)*100</f>
        <v>0</v>
      </c>
      <c r="Q89" s="135">
        <f t="shared" si="14"/>
        <v>100</v>
      </c>
      <c r="R89" s="135">
        <f t="shared" si="15"/>
        <v>100</v>
      </c>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row>
    <row r="90" spans="1:41" ht="15.75" customHeight="1">
      <c r="A90" s="76" t="s">
        <v>190</v>
      </c>
      <c r="B90" s="600">
        <f>('Pivot Table for Data Exchange'!$D$546)*100</f>
        <v>0</v>
      </c>
      <c r="C90" s="600">
        <f>('Pivot Table for Data Exchange'!$D$549)*100</f>
        <v>0</v>
      </c>
      <c r="D90" s="604">
        <f>SUM(E90:G90)</f>
        <v>0</v>
      </c>
      <c r="E90" s="600">
        <f>('Pivot Table for Data Exchange'!$D$552)*100</f>
        <v>0</v>
      </c>
      <c r="F90" s="600">
        <f>('Pivot Table for Data Exchange'!$D$555)*100</f>
        <v>0</v>
      </c>
      <c r="G90" s="601">
        <f>('Pivot Table for Data Exchange'!$D$558)*100</f>
        <v>0</v>
      </c>
      <c r="H90" s="600">
        <f>('Pivot Table for Data Exchange'!$D$561)*100</f>
        <v>0</v>
      </c>
      <c r="I90" s="619" t="s">
        <v>190</v>
      </c>
      <c r="J90" s="600">
        <f>('Pivot Table for Data Exchange'!$D$564)*100</f>
        <v>0</v>
      </c>
      <c r="K90" s="600">
        <f>('Pivot Table for Data Exchange'!$D$567)*100</f>
        <v>0</v>
      </c>
      <c r="L90" s="604">
        <f>SUM(M90:O90)</f>
        <v>0</v>
      </c>
      <c r="M90" s="600">
        <f>('Pivot Table for Data Exchange'!$D$570)*100</f>
        <v>0</v>
      </c>
      <c r="N90" s="600">
        <f>('Pivot Table for Data Exchange'!$D$573)*100</f>
        <v>0</v>
      </c>
      <c r="O90" s="601">
        <f>('Pivot Table for Data Exchange'!$D$576)*100</f>
        <v>0</v>
      </c>
      <c r="P90" s="600">
        <f>('Pivot Table for Data Exchange'!$D$579)*100</f>
        <v>0</v>
      </c>
      <c r="Q90" s="135">
        <f t="shared" si="14"/>
        <v>0</v>
      </c>
      <c r="R90" s="135">
        <f t="shared" si="15"/>
        <v>0</v>
      </c>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row>
    <row r="91" spans="1:41" s="45" customFormat="1" ht="18" customHeight="1">
      <c r="A91" s="43" t="s">
        <v>219</v>
      </c>
      <c r="B91" s="106"/>
      <c r="C91" s="106"/>
      <c r="D91" s="107"/>
      <c r="E91" s="106"/>
      <c r="F91" s="107"/>
      <c r="G91" s="107"/>
      <c r="H91" s="106"/>
      <c r="I91" s="43" t="s">
        <v>219</v>
      </c>
      <c r="J91" s="106"/>
      <c r="K91" s="106"/>
      <c r="L91" s="107"/>
      <c r="M91" s="106"/>
      <c r="N91" s="107"/>
      <c r="O91" s="107"/>
      <c r="P91" s="106"/>
      <c r="Q91" s="135"/>
      <c r="R91" s="135"/>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row>
    <row r="92" spans="1:41" s="45" customFormat="1" ht="24.75" customHeight="1">
      <c r="A92" s="658" t="s">
        <v>220</v>
      </c>
      <c r="B92" s="663"/>
      <c r="C92" s="663"/>
      <c r="D92" s="663"/>
      <c r="E92" s="663"/>
      <c r="F92" s="663"/>
      <c r="G92" s="663"/>
      <c r="H92" s="663"/>
      <c r="I92" s="658" t="s">
        <v>220</v>
      </c>
      <c r="J92" s="663"/>
      <c r="K92" s="663"/>
      <c r="L92" s="663"/>
      <c r="M92" s="663"/>
      <c r="N92" s="663"/>
      <c r="O92" s="663"/>
      <c r="P92" s="663"/>
      <c r="Q92" s="135"/>
      <c r="R92" s="135"/>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row>
    <row r="93" spans="1:41" s="45" customFormat="1" ht="18" customHeight="1">
      <c r="A93" s="116"/>
      <c r="B93" s="150"/>
      <c r="C93" s="150"/>
      <c r="D93" s="117"/>
      <c r="E93" s="150"/>
      <c r="F93" s="150"/>
      <c r="G93" s="151"/>
      <c r="H93" s="151"/>
      <c r="I93" s="116"/>
      <c r="J93" s="150"/>
      <c r="K93" s="150"/>
      <c r="L93" s="117"/>
      <c r="M93" s="150"/>
      <c r="N93" s="150"/>
      <c r="O93" s="150"/>
      <c r="P93" s="151"/>
      <c r="Q93" s="135"/>
      <c r="R93" s="135"/>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row>
    <row r="94" spans="1:41" s="45" customFormat="1" ht="13.5" customHeight="1">
      <c r="A94" s="43"/>
      <c r="B94" s="114"/>
      <c r="H94" s="49" t="s">
        <v>900</v>
      </c>
      <c r="I94" s="43"/>
      <c r="P94" s="49" t="s">
        <v>900</v>
      </c>
      <c r="Q94" s="135"/>
      <c r="R94" s="135"/>
    </row>
    <row r="95" spans="1:41" ht="18">
      <c r="A95" s="16" t="s">
        <v>268</v>
      </c>
      <c r="B95" s="71"/>
      <c r="C95" s="71"/>
      <c r="D95" s="71"/>
      <c r="E95" s="71"/>
      <c r="F95" s="71"/>
      <c r="G95" s="71"/>
      <c r="H95" s="72"/>
      <c r="I95" s="16" t="s">
        <v>283</v>
      </c>
      <c r="J95" s="23"/>
      <c r="K95" s="23"/>
      <c r="L95" s="71"/>
      <c r="M95" s="23"/>
      <c r="N95" s="23"/>
      <c r="O95" s="23"/>
      <c r="P95" s="23"/>
      <c r="Q95" s="135"/>
      <c r="R95" s="135"/>
    </row>
    <row r="96" spans="1:41">
      <c r="A96" s="22"/>
      <c r="B96" s="23"/>
      <c r="C96" s="23"/>
      <c r="D96" s="23"/>
      <c r="E96" s="23"/>
      <c r="F96" s="23"/>
      <c r="G96" s="23"/>
      <c r="H96" s="73"/>
      <c r="I96" s="22"/>
      <c r="J96" s="23"/>
      <c r="K96" s="23"/>
      <c r="L96" s="23"/>
      <c r="M96" s="23"/>
      <c r="N96" s="23"/>
      <c r="O96" s="23"/>
      <c r="P96" s="23"/>
      <c r="Q96" s="135"/>
      <c r="R96" s="135"/>
    </row>
    <row r="97" spans="1:41" ht="15.75">
      <c r="A97" s="74" t="s">
        <v>205</v>
      </c>
      <c r="B97" s="23"/>
      <c r="C97" s="23"/>
      <c r="D97" s="23"/>
      <c r="E97" s="23"/>
      <c r="F97" s="23"/>
      <c r="G97" s="23"/>
      <c r="H97" s="73"/>
      <c r="I97" s="74" t="s">
        <v>206</v>
      </c>
      <c r="J97" s="23"/>
      <c r="K97" s="23"/>
      <c r="L97" s="23"/>
      <c r="M97" s="23"/>
      <c r="N97" s="23"/>
      <c r="O97" s="23"/>
      <c r="P97" s="23"/>
      <c r="Q97" s="135"/>
      <c r="R97" s="135"/>
    </row>
    <row r="98" spans="1:41" ht="15.75">
      <c r="A98" s="74" t="s">
        <v>258</v>
      </c>
      <c r="B98" s="23"/>
      <c r="C98" s="23"/>
      <c r="D98" s="23"/>
      <c r="E98" s="23"/>
      <c r="F98" s="23"/>
      <c r="G98" s="23"/>
      <c r="H98" s="73"/>
      <c r="I98" s="74" t="s">
        <v>258</v>
      </c>
      <c r="J98" s="23"/>
      <c r="K98" s="23"/>
      <c r="L98" s="23"/>
      <c r="M98" s="23"/>
      <c r="N98" s="23"/>
      <c r="O98" s="23"/>
      <c r="P98" s="23"/>
      <c r="Q98" s="135"/>
      <c r="R98" s="135"/>
    </row>
    <row r="99" spans="1:41">
      <c r="A99" s="76"/>
      <c r="B99" s="77"/>
      <c r="C99" s="77"/>
      <c r="D99" s="77"/>
      <c r="E99" s="77"/>
      <c r="F99" s="77"/>
      <c r="G99" s="77"/>
      <c r="H99" s="77"/>
      <c r="I99" s="78"/>
      <c r="L99" s="79"/>
      <c r="P99" s="76"/>
      <c r="Q99" s="135"/>
      <c r="R99" s="135"/>
    </row>
    <row r="100" spans="1:41" s="85" customFormat="1">
      <c r="A100" s="80"/>
      <c r="B100" s="654" t="s">
        <v>207</v>
      </c>
      <c r="C100" s="654"/>
      <c r="D100" s="654"/>
      <c r="E100" s="654"/>
      <c r="F100" s="654"/>
      <c r="G100" s="654"/>
      <c r="H100" s="654"/>
      <c r="I100" s="80"/>
      <c r="J100" s="81" t="s">
        <v>207</v>
      </c>
      <c r="K100" s="81"/>
      <c r="L100" s="81"/>
      <c r="M100" s="81"/>
      <c r="N100" s="81"/>
      <c r="O100" s="81"/>
      <c r="P100" s="82"/>
      <c r="Q100" s="135"/>
      <c r="R100" s="135"/>
    </row>
    <row r="101" spans="1:41" s="85" customFormat="1">
      <c r="A101" s="80"/>
      <c r="B101" s="81" t="s">
        <v>208</v>
      </c>
      <c r="C101" s="81"/>
      <c r="D101" s="653" t="s">
        <v>209</v>
      </c>
      <c r="E101" s="654"/>
      <c r="F101" s="654"/>
      <c r="G101" s="654"/>
      <c r="H101" s="86" t="s">
        <v>39</v>
      </c>
      <c r="I101" s="80"/>
      <c r="J101" s="81" t="s">
        <v>208</v>
      </c>
      <c r="K101" s="81"/>
      <c r="L101" s="653" t="s">
        <v>209</v>
      </c>
      <c r="M101" s="654"/>
      <c r="N101" s="654"/>
      <c r="O101" s="654"/>
      <c r="P101" s="86" t="s">
        <v>39</v>
      </c>
      <c r="Q101" s="135"/>
      <c r="R101" s="135"/>
    </row>
    <row r="102" spans="1:41" s="85" customFormat="1" ht="40.5" customHeight="1">
      <c r="A102" s="80"/>
      <c r="B102" s="87" t="s">
        <v>210</v>
      </c>
      <c r="C102" s="88" t="s">
        <v>211</v>
      </c>
      <c r="D102" s="89" t="s">
        <v>212</v>
      </c>
      <c r="E102" s="90" t="s">
        <v>7</v>
      </c>
      <c r="F102" s="87" t="s">
        <v>213</v>
      </c>
      <c r="G102" s="91" t="s">
        <v>214</v>
      </c>
      <c r="H102" s="92" t="s">
        <v>215</v>
      </c>
      <c r="I102" s="80"/>
      <c r="J102" s="87" t="s">
        <v>210</v>
      </c>
      <c r="K102" s="88" t="s">
        <v>211</v>
      </c>
      <c r="L102" s="89" t="s">
        <v>212</v>
      </c>
      <c r="M102" s="90" t="s">
        <v>7</v>
      </c>
      <c r="N102" s="87" t="s">
        <v>213</v>
      </c>
      <c r="O102" s="91" t="s">
        <v>214</v>
      </c>
      <c r="P102" s="92" t="s">
        <v>215</v>
      </c>
      <c r="Q102" s="135"/>
      <c r="R102" s="135"/>
      <c r="T102" s="111"/>
    </row>
    <row r="103" spans="1:41" ht="15.75" customHeight="1">
      <c r="A103" s="99" t="s">
        <v>175</v>
      </c>
      <c r="B103" s="597">
        <f>('Pivot Table for Data Exchange'!$E$6)*100</f>
        <v>82.589771603866652</v>
      </c>
      <c r="C103" s="597">
        <f>('Pivot Table for Data Exchange'!$E$9)*100</f>
        <v>1.0394305845614566</v>
      </c>
      <c r="D103" s="603">
        <f>SUM(E103:G103)</f>
        <v>16.37017409084908</v>
      </c>
      <c r="E103" s="597">
        <f>('Pivot Table for Data Exchange'!$E$12)*100</f>
        <v>15.787930796106735</v>
      </c>
      <c r="F103" s="597">
        <f>('Pivot Table for Data Exchange'!$E$15)*100</f>
        <v>0.27048688679157018</v>
      </c>
      <c r="G103" s="97">
        <f>('Pivot Table for Data Exchange'!$E$18)*100</f>
        <v>0.31175640795077597</v>
      </c>
      <c r="H103" s="98">
        <f>('Pivot Table for Data Exchange'!$E$21)*100</f>
        <v>6.23720722809155E-4</v>
      </c>
      <c r="I103" s="618" t="s">
        <v>175</v>
      </c>
      <c r="J103" s="597">
        <f>('Pivot Table for Data Exchange'!$E$24)*100</f>
        <v>68.857535154585477</v>
      </c>
      <c r="K103" s="597">
        <f>('Pivot Table for Data Exchange'!$E$27)*100</f>
        <v>1.0794943421239525</v>
      </c>
      <c r="L103" s="603">
        <f>SUM(M103:O103)</f>
        <v>30.062970503290565</v>
      </c>
      <c r="M103" s="597">
        <f>('Pivot Table for Data Exchange'!$E$30)*100</f>
        <v>26.96463235642252</v>
      </c>
      <c r="N103" s="597">
        <f>('Pivot Table for Data Exchange'!$E$33)*100</f>
        <v>0.39392074238909147</v>
      </c>
      <c r="O103" s="97">
        <f>('Pivot Table for Data Exchange'!$E$36)*100</f>
        <v>2.7044174044789546</v>
      </c>
      <c r="P103" s="597">
        <f>('Pivot Table for Data Exchange'!$E$39)*100</f>
        <v>0</v>
      </c>
      <c r="Q103" s="135">
        <f>SUM(B103,C103,D103,H103)</f>
        <v>100</v>
      </c>
      <c r="R103" s="135">
        <f t="shared" si="15"/>
        <v>100</v>
      </c>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row>
    <row r="104" spans="1:41" ht="15.75" customHeight="1">
      <c r="A104" s="102" t="s">
        <v>176</v>
      </c>
      <c r="B104" s="597">
        <f>('Pivot Table for Data Exchange'!$E$42)*100</f>
        <v>78.287684076145169</v>
      </c>
      <c r="C104" s="597">
        <f>('Pivot Table for Data Exchange'!$E$45)*100</f>
        <v>6.4084056623401979</v>
      </c>
      <c r="D104" s="603">
        <f t="shared" ref="D104:D106" si="22">SUM(E104:G104)</f>
        <v>15.21400738231071</v>
      </c>
      <c r="E104" s="597">
        <f>('Pivot Table for Data Exchange'!$E$48)*100</f>
        <v>14.097927353336296</v>
      </c>
      <c r="F104" s="597">
        <f>('Pivot Table for Data Exchange'!$E$51)*100</f>
        <v>1.1160800289744137</v>
      </c>
      <c r="G104" s="599">
        <f>('Pivot Table for Data Exchange'!$E$54)*100</f>
        <v>0</v>
      </c>
      <c r="H104" s="597">
        <f>('Pivot Table for Data Exchange'!$E$57)*100</f>
        <v>8.9902879203922842E-2</v>
      </c>
      <c r="I104" s="125" t="s">
        <v>176</v>
      </c>
      <c r="J104" s="597">
        <f>('Pivot Table for Data Exchange'!$E$60)*100</f>
        <v>47.743454033563722</v>
      </c>
      <c r="K104" s="597">
        <f>('Pivot Table for Data Exchange'!$E$63)*100</f>
        <v>9.9930427771673038</v>
      </c>
      <c r="L104" s="603">
        <f t="shared" ref="L104:L106" si="23">SUM(M104:O104)</f>
        <v>42.263503189268967</v>
      </c>
      <c r="M104" s="597">
        <f>('Pivot Table for Data Exchange'!$E$66)*100</f>
        <v>39.211428051262374</v>
      </c>
      <c r="N104" s="597">
        <f>('Pivot Table for Data Exchange'!$E$69)*100</f>
        <v>2.9838033251623894</v>
      </c>
      <c r="O104" s="599">
        <f>('Pivot Table for Data Exchange'!$E$72)*100</f>
        <v>6.8271812844203722E-2</v>
      </c>
      <c r="P104" s="597">
        <f>('Pivot Table for Data Exchange'!$E$75)*100</f>
        <v>0</v>
      </c>
      <c r="Q104" s="135">
        <f t="shared" si="14"/>
        <v>100</v>
      </c>
      <c r="R104" s="135">
        <f t="shared" si="15"/>
        <v>100</v>
      </c>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row>
    <row r="105" spans="1:41" ht="15.75" customHeight="1">
      <c r="A105" s="102" t="s">
        <v>177</v>
      </c>
      <c r="B105" s="597">
        <f>('Pivot Table for Data Exchange'!$E$78)*100</f>
        <v>0</v>
      </c>
      <c r="C105" s="597">
        <f>('Pivot Table for Data Exchange'!$E$81)*100</f>
        <v>0</v>
      </c>
      <c r="D105" s="603">
        <f t="shared" si="22"/>
        <v>0</v>
      </c>
      <c r="E105" s="597">
        <f>('Pivot Table for Data Exchange'!$E$84)*100</f>
        <v>0</v>
      </c>
      <c r="F105" s="597">
        <f>('Pivot Table for Data Exchange'!$E$87)*100</f>
        <v>0</v>
      </c>
      <c r="G105" s="599">
        <f>('Pivot Table for Data Exchange'!$E$90)*100</f>
        <v>0</v>
      </c>
      <c r="H105" s="597">
        <f>('Pivot Table for Data Exchange'!$E$93)*100</f>
        <v>0</v>
      </c>
      <c r="I105" s="125" t="s">
        <v>177</v>
      </c>
      <c r="J105" s="597">
        <f>('Pivot Table for Data Exchange'!$E$96)*100</f>
        <v>0</v>
      </c>
      <c r="K105" s="597">
        <f>('Pivot Table for Data Exchange'!$E$99)*100</f>
        <v>0</v>
      </c>
      <c r="L105" s="603">
        <f t="shared" si="23"/>
        <v>0</v>
      </c>
      <c r="M105" s="597">
        <f>('Pivot Table for Data Exchange'!$E$102)*100</f>
        <v>0</v>
      </c>
      <c r="N105" s="597">
        <f>('Pivot Table for Data Exchange'!$E$105)*100</f>
        <v>0</v>
      </c>
      <c r="O105" s="599">
        <f>('Pivot Table for Data Exchange'!$E$108)*100</f>
        <v>0</v>
      </c>
      <c r="P105" s="597">
        <f>('Pivot Table for Data Exchange'!$E$111)*100</f>
        <v>0</v>
      </c>
      <c r="Q105" s="135">
        <f t="shared" si="14"/>
        <v>0</v>
      </c>
      <c r="R105" s="135">
        <f t="shared" si="15"/>
        <v>0</v>
      </c>
      <c r="S105" s="100"/>
      <c r="T105" s="112"/>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row>
    <row r="106" spans="1:41" ht="15.75" customHeight="1">
      <c r="A106" s="102" t="s">
        <v>217</v>
      </c>
      <c r="B106" s="597">
        <f>('Pivot Table for Data Exchange'!$E$114)*100</f>
        <v>85.071044073647997</v>
      </c>
      <c r="C106" s="597">
        <f>('Pivot Table for Data Exchange'!$E$117)*100</f>
        <v>1.2122953596144146</v>
      </c>
      <c r="D106" s="603">
        <f t="shared" si="22"/>
        <v>13.716660566737593</v>
      </c>
      <c r="E106" s="597">
        <f>('Pivot Table for Data Exchange'!$E$120)*100</f>
        <v>12.893746926002791</v>
      </c>
      <c r="F106" s="104">
        <f>('Pivot Table for Data Exchange'!$E$123)*100</f>
        <v>4.7401168040286795E-2</v>
      </c>
      <c r="G106" s="599">
        <f>('Pivot Table for Data Exchange'!$E$126)*100</f>
        <v>0.77551247269451518</v>
      </c>
      <c r="H106" s="597">
        <f>('Pivot Table for Data Exchange'!$E$129)*100</f>
        <v>0</v>
      </c>
      <c r="I106" s="125" t="s">
        <v>217</v>
      </c>
      <c r="J106" s="597">
        <f>('Pivot Table for Data Exchange'!$E$132)*100</f>
        <v>58.29554804712803</v>
      </c>
      <c r="K106" s="597">
        <f>('Pivot Table for Data Exchange'!$E$135)*100</f>
        <v>18.734791057579525</v>
      </c>
      <c r="L106" s="603">
        <f t="shared" si="23"/>
        <v>22.969660895292449</v>
      </c>
      <c r="M106" s="597">
        <f>('Pivot Table for Data Exchange'!$E$138)*100</f>
        <v>20.732305106703315</v>
      </c>
      <c r="N106" s="597">
        <f>('Pivot Table for Data Exchange'!$E$141)*100</f>
        <v>0.20220234239596646</v>
      </c>
      <c r="O106" s="599">
        <f>('Pivot Table for Data Exchange'!$E$144)*100</f>
        <v>2.0351534461931688</v>
      </c>
      <c r="P106" s="597">
        <f>('Pivot Table for Data Exchange'!$E$147)*100</f>
        <v>0</v>
      </c>
      <c r="Q106" s="135">
        <f t="shared" si="14"/>
        <v>100</v>
      </c>
      <c r="R106" s="135">
        <f t="shared" si="15"/>
        <v>100</v>
      </c>
      <c r="S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row>
    <row r="107" spans="1:41" ht="11.25" customHeight="1">
      <c r="A107" s="102"/>
      <c r="B107" s="597"/>
      <c r="C107" s="597"/>
      <c r="D107" s="603"/>
      <c r="E107" s="597"/>
      <c r="F107" s="597"/>
      <c r="G107" s="599"/>
      <c r="H107" s="597"/>
      <c r="I107" s="125"/>
      <c r="J107" s="597"/>
      <c r="K107" s="597"/>
      <c r="L107" s="603"/>
      <c r="M107" s="597"/>
      <c r="N107" s="597"/>
      <c r="O107" s="599"/>
      <c r="P107" s="597"/>
      <c r="Q107" s="135">
        <f t="shared" si="14"/>
        <v>0</v>
      </c>
      <c r="R107" s="135">
        <f t="shared" si="15"/>
        <v>0</v>
      </c>
      <c r="S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row>
    <row r="108" spans="1:41" ht="15.75" customHeight="1">
      <c r="A108" s="102" t="s">
        <v>179</v>
      </c>
      <c r="B108" s="597">
        <f>('Pivot Table for Data Exchange'!$E$150)*100</f>
        <v>0</v>
      </c>
      <c r="C108" s="597">
        <f>('Pivot Table for Data Exchange'!$E$153)*100</f>
        <v>0</v>
      </c>
      <c r="D108" s="603">
        <f t="shared" ref="D108:D111" si="24">SUM(E108:G108)</f>
        <v>0</v>
      </c>
      <c r="E108" s="597">
        <f>('Pivot Table for Data Exchange'!$E$156)*100</f>
        <v>0</v>
      </c>
      <c r="F108" s="597">
        <f>('Pivot Table for Data Exchange'!$E$159)*100</f>
        <v>0</v>
      </c>
      <c r="G108" s="599">
        <f>('Pivot Table for Data Exchange'!$E$162)*100</f>
        <v>0</v>
      </c>
      <c r="H108" s="597">
        <f>('Pivot Table for Data Exchange'!$E$165)*100</f>
        <v>0</v>
      </c>
      <c r="I108" s="125" t="s">
        <v>179</v>
      </c>
      <c r="J108" s="597">
        <f>('Pivot Table for Data Exchange'!$E$168)*100</f>
        <v>0</v>
      </c>
      <c r="K108" s="597">
        <f>('Pivot Table for Data Exchange'!$E$171)*100</f>
        <v>0</v>
      </c>
      <c r="L108" s="603">
        <f t="shared" ref="L108:L111" si="25">SUM(M108:O108)</f>
        <v>0</v>
      </c>
      <c r="M108" s="597">
        <f>('Pivot Table for Data Exchange'!$E$174)*100</f>
        <v>0</v>
      </c>
      <c r="N108" s="597">
        <f>('Pivot Table for Data Exchange'!$E$177)*100</f>
        <v>0</v>
      </c>
      <c r="O108" s="599">
        <f>('Pivot Table for Data Exchange'!$E$180)*100</f>
        <v>0</v>
      </c>
      <c r="P108" s="597">
        <f>('Pivot Table for Data Exchange'!$E$183)*100</f>
        <v>0</v>
      </c>
      <c r="Q108" s="135">
        <f t="shared" si="14"/>
        <v>0</v>
      </c>
      <c r="R108" s="135">
        <f t="shared" si="15"/>
        <v>0</v>
      </c>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row>
    <row r="109" spans="1:41" ht="15.75" customHeight="1">
      <c r="A109" s="102" t="s">
        <v>180</v>
      </c>
      <c r="B109" s="597">
        <f>('Pivot Table for Data Exchange'!$E$186)*100</f>
        <v>78.09768592206477</v>
      </c>
      <c r="C109" s="597">
        <f>('Pivot Table for Data Exchange'!$E$189)*100</f>
        <v>7.461246367473076</v>
      </c>
      <c r="D109" s="603">
        <f t="shared" si="24"/>
        <v>14.441067710462157</v>
      </c>
      <c r="E109" s="597">
        <f>('Pivot Table for Data Exchange'!$E$192)*100</f>
        <v>11.704630880766562</v>
      </c>
      <c r="F109" s="597">
        <f>('Pivot Table for Data Exchange'!$E$195)*100</f>
        <v>2.628482857999253</v>
      </c>
      <c r="G109" s="599">
        <f>('Pivot Table for Data Exchange'!$E$198)*100</f>
        <v>0.10795397169634398</v>
      </c>
      <c r="H109" s="597">
        <f>('Pivot Table for Data Exchange'!$E$201)*100</f>
        <v>0</v>
      </c>
      <c r="I109" s="125" t="s">
        <v>180</v>
      </c>
      <c r="J109" s="597">
        <f>('Pivot Table for Data Exchange'!$E$204)*100</f>
        <v>47.048609747091035</v>
      </c>
      <c r="K109" s="597">
        <f>('Pivot Table for Data Exchange'!$E$207)*100</f>
        <v>6.297189638510674</v>
      </c>
      <c r="L109" s="603">
        <f t="shared" si="25"/>
        <v>46.654200614398292</v>
      </c>
      <c r="M109" s="597">
        <f>('Pivot Table for Data Exchange'!$E$210)*100</f>
        <v>42.794962248289195</v>
      </c>
      <c r="N109" s="597">
        <f>('Pivot Table for Data Exchange'!$E$213)*100</f>
        <v>3.8466675570989715</v>
      </c>
      <c r="O109" s="105">
        <f>('Pivot Table for Data Exchange'!$E$216)*100</f>
        <v>1.257080901012736E-2</v>
      </c>
      <c r="P109" s="597">
        <f>('Pivot Table for Data Exchange'!$E$219)*100</f>
        <v>0</v>
      </c>
      <c r="Q109" s="135">
        <f t="shared" si="14"/>
        <v>100</v>
      </c>
      <c r="R109" s="135">
        <f t="shared" si="15"/>
        <v>100</v>
      </c>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row>
    <row r="110" spans="1:41" ht="15.75" customHeight="1">
      <c r="A110" s="102" t="s">
        <v>181</v>
      </c>
      <c r="B110" s="597">
        <f>('Pivot Table for Data Exchange'!$E$222)*100</f>
        <v>0</v>
      </c>
      <c r="C110" s="597">
        <f>('Pivot Table for Data Exchange'!$E$225)*100</f>
        <v>0</v>
      </c>
      <c r="D110" s="603">
        <f t="shared" si="24"/>
        <v>0</v>
      </c>
      <c r="E110" s="597">
        <f>('Pivot Table for Data Exchange'!$E$228)*100</f>
        <v>0</v>
      </c>
      <c r="F110" s="597">
        <f>('Pivot Table for Data Exchange'!$E$231)*100</f>
        <v>0</v>
      </c>
      <c r="G110" s="599">
        <f>('Pivot Table for Data Exchange'!$E$234)*100</f>
        <v>0</v>
      </c>
      <c r="H110" s="597">
        <f>('Pivot Table for Data Exchange'!$E$237)*100</f>
        <v>0</v>
      </c>
      <c r="I110" s="125" t="s">
        <v>181</v>
      </c>
      <c r="J110" s="597">
        <f>('Pivot Table for Data Exchange'!$E$240)*100</f>
        <v>0</v>
      </c>
      <c r="K110" s="597">
        <f>('Pivot Table for Data Exchange'!$E$243)*100</f>
        <v>0</v>
      </c>
      <c r="L110" s="603">
        <f t="shared" si="25"/>
        <v>0</v>
      </c>
      <c r="M110" s="597">
        <f>('Pivot Table for Data Exchange'!$E$246)*100</f>
        <v>0</v>
      </c>
      <c r="N110" s="597">
        <f>('Pivot Table for Data Exchange'!$E$249)*100</f>
        <v>0</v>
      </c>
      <c r="O110" s="599">
        <f>('Pivot Table for Data Exchange'!$E$252)*100</f>
        <v>0</v>
      </c>
      <c r="P110" s="597">
        <f>('Pivot Table for Data Exchange'!$E$255)*100</f>
        <v>0</v>
      </c>
      <c r="Q110" s="135">
        <f t="shared" si="14"/>
        <v>0</v>
      </c>
      <c r="R110" s="135">
        <f t="shared" si="15"/>
        <v>0</v>
      </c>
      <c r="S110" s="100"/>
      <c r="T110" s="112"/>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row>
    <row r="111" spans="1:41" ht="15.75" customHeight="1">
      <c r="A111" s="102" t="s">
        <v>222</v>
      </c>
      <c r="B111" s="597">
        <f>('Pivot Table for Data Exchange'!$E$258)*100</f>
        <v>93.130070029434663</v>
      </c>
      <c r="C111" s="597">
        <f>('Pivot Table for Data Exchange'!$E$261)*100</f>
        <v>1.9117236397939279</v>
      </c>
      <c r="D111" s="603">
        <f t="shared" si="24"/>
        <v>4.958206330771409</v>
      </c>
      <c r="E111" s="597">
        <f>('Pivot Table for Data Exchange'!$E$264)*100</f>
        <v>4.958206330771409</v>
      </c>
      <c r="F111" s="597">
        <f>('Pivot Table for Data Exchange'!$E$267)*100</f>
        <v>0</v>
      </c>
      <c r="G111" s="599">
        <f>('Pivot Table for Data Exchange'!$E$270)*100</f>
        <v>0</v>
      </c>
      <c r="H111" s="597">
        <f>('Pivot Table for Data Exchange'!$E$273)*100</f>
        <v>0</v>
      </c>
      <c r="I111" s="125" t="s">
        <v>222</v>
      </c>
      <c r="J111" s="597">
        <f>('Pivot Table for Data Exchange'!$E$276)*100</f>
        <v>61.864049611656334</v>
      </c>
      <c r="K111" s="597">
        <f>('Pivot Table for Data Exchange'!$E$279)*100</f>
        <v>27.403387148103871</v>
      </c>
      <c r="L111" s="603">
        <f t="shared" si="25"/>
        <v>10.7325632402398</v>
      </c>
      <c r="M111" s="597">
        <f>('Pivot Table for Data Exchange'!$E$282)*100</f>
        <v>10.490009719343213</v>
      </c>
      <c r="N111" s="597">
        <f>('Pivot Table for Data Exchange'!$E$285)*100</f>
        <v>0.24255352089658794</v>
      </c>
      <c r="O111" s="599">
        <f>('Pivot Table for Data Exchange'!$E$288)*100</f>
        <v>0</v>
      </c>
      <c r="P111" s="597">
        <f>('Pivot Table for Data Exchange'!$E$291)*100</f>
        <v>0</v>
      </c>
      <c r="Q111" s="135">
        <f t="shared" si="14"/>
        <v>100</v>
      </c>
      <c r="R111" s="135">
        <f t="shared" si="15"/>
        <v>100</v>
      </c>
      <c r="S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row>
    <row r="112" spans="1:41" ht="11.25" customHeight="1">
      <c r="A112" s="102"/>
      <c r="B112" s="597"/>
      <c r="C112" s="597"/>
      <c r="D112" s="603"/>
      <c r="E112" s="597"/>
      <c r="F112" s="597"/>
      <c r="G112" s="599"/>
      <c r="H112" s="597"/>
      <c r="I112" s="125"/>
      <c r="J112" s="597"/>
      <c r="K112" s="597"/>
      <c r="L112" s="603"/>
      <c r="M112" s="597"/>
      <c r="N112" s="597"/>
      <c r="O112" s="599"/>
      <c r="P112" s="597"/>
      <c r="Q112" s="135">
        <f t="shared" si="14"/>
        <v>0</v>
      </c>
      <c r="R112" s="135">
        <f t="shared" si="15"/>
        <v>0</v>
      </c>
      <c r="S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row>
    <row r="113" spans="1:41" ht="15.75" customHeight="1">
      <c r="A113" s="102" t="s">
        <v>183</v>
      </c>
      <c r="B113" s="597">
        <f>('Pivot Table for Data Exchange'!$E$294)*100</f>
        <v>0</v>
      </c>
      <c r="C113" s="597">
        <f>('Pivot Table for Data Exchange'!$E$297)*100</f>
        <v>0</v>
      </c>
      <c r="D113" s="603">
        <f t="shared" ref="D113:D115" si="26">SUM(E113:G113)</f>
        <v>0</v>
      </c>
      <c r="E113" s="597">
        <f>('Pivot Table for Data Exchange'!$E$300)*100</f>
        <v>0</v>
      </c>
      <c r="F113" s="597">
        <f>('Pivot Table for Data Exchange'!$E$303)*100</f>
        <v>0</v>
      </c>
      <c r="G113" s="599">
        <f>('Pivot Table for Data Exchange'!$E$306)*100</f>
        <v>0</v>
      </c>
      <c r="H113" s="597">
        <f>('Pivot Table for Data Exchange'!$E$309)*100</f>
        <v>0</v>
      </c>
      <c r="I113" s="125" t="s">
        <v>183</v>
      </c>
      <c r="J113" s="597">
        <f>('Pivot Table for Data Exchange'!$E$312)*100</f>
        <v>0</v>
      </c>
      <c r="K113" s="597">
        <f>('Pivot Table for Data Exchange'!$E$315)*100</f>
        <v>0</v>
      </c>
      <c r="L113" s="603">
        <f t="shared" ref="L113:L115" si="27">SUM(M113:O113)</f>
        <v>0</v>
      </c>
      <c r="M113" s="597">
        <f>('Pivot Table for Data Exchange'!$E$318)*100</f>
        <v>0</v>
      </c>
      <c r="N113" s="597">
        <f>('Pivot Table for Data Exchange'!$E$321)*100</f>
        <v>0</v>
      </c>
      <c r="O113" s="599">
        <f>('Pivot Table for Data Exchange'!$E$324)*100</f>
        <v>0</v>
      </c>
      <c r="P113" s="597">
        <f>('Pivot Table for Data Exchange'!$E$327)*100</f>
        <v>0</v>
      </c>
      <c r="Q113" s="135">
        <f t="shared" si="14"/>
        <v>0</v>
      </c>
      <c r="R113" s="135">
        <f t="shared" si="15"/>
        <v>0</v>
      </c>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row>
    <row r="114" spans="1:41" ht="15.75" customHeight="1">
      <c r="A114" s="102" t="s">
        <v>184</v>
      </c>
      <c r="B114" s="597">
        <f>('Pivot Table for Data Exchange'!$E$330)*100</f>
        <v>90.445878691740432</v>
      </c>
      <c r="C114" s="597">
        <f>('Pivot Table for Data Exchange'!$E$333)*100</f>
        <v>1.5672474964581087</v>
      </c>
      <c r="D114" s="603">
        <f t="shared" si="26"/>
        <v>7.9868738118014608</v>
      </c>
      <c r="E114" s="597">
        <f>('Pivot Table for Data Exchange'!$E$336)*100</f>
        <v>7.9749585265732659</v>
      </c>
      <c r="F114" s="104">
        <f>('Pivot Table for Data Exchange'!$E$339)*100</f>
        <v>1.1915285228194666E-2</v>
      </c>
      <c r="G114" s="599">
        <f>('Pivot Table for Data Exchange'!$E$342)*100</f>
        <v>0</v>
      </c>
      <c r="H114" s="597">
        <f>('Pivot Table for Data Exchange'!$E$345)*100</f>
        <v>0</v>
      </c>
      <c r="I114" s="125" t="s">
        <v>184</v>
      </c>
      <c r="J114" s="597">
        <f>('Pivot Table for Data Exchange'!$E$348)*100</f>
        <v>62.244499040582468</v>
      </c>
      <c r="K114" s="597">
        <f>('Pivot Table for Data Exchange'!$E$351)*100</f>
        <v>8.9302942811541701</v>
      </c>
      <c r="L114" s="603">
        <f t="shared" si="27"/>
        <v>28.825206678263367</v>
      </c>
      <c r="M114" s="597">
        <f>('Pivot Table for Data Exchange'!$E$354)*100</f>
        <v>28.640137725732117</v>
      </c>
      <c r="N114" s="597">
        <f>('Pivot Table for Data Exchange'!$E$357)*100</f>
        <v>0.1850689525312483</v>
      </c>
      <c r="O114" s="599">
        <f>('Pivot Table for Data Exchange'!$E$360)*100</f>
        <v>0</v>
      </c>
      <c r="P114" s="597">
        <f>('Pivot Table for Data Exchange'!$E$363)*100</f>
        <v>0</v>
      </c>
      <c r="Q114" s="135">
        <f t="shared" si="14"/>
        <v>100</v>
      </c>
      <c r="R114" s="135">
        <f t="shared" si="15"/>
        <v>100.00000000000001</v>
      </c>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row>
    <row r="115" spans="1:41" ht="15.75" customHeight="1">
      <c r="A115" s="102" t="s">
        <v>185</v>
      </c>
      <c r="B115" s="597">
        <f>('Pivot Table for Data Exchange'!$E$366)*100</f>
        <v>91.537064883262005</v>
      </c>
      <c r="C115" s="597">
        <f>('Pivot Table for Data Exchange'!$E$369)*100</f>
        <v>0.33841926133117417</v>
      </c>
      <c r="D115" s="603">
        <f t="shared" si="26"/>
        <v>8.1245158554068215</v>
      </c>
      <c r="E115" s="597">
        <f>('Pivot Table for Data Exchange'!$E$372)*100</f>
        <v>7.6122426804347745</v>
      </c>
      <c r="F115" s="597">
        <f>('Pivot Table for Data Exchange'!$E$375)*100</f>
        <v>0.19716295649796528</v>
      </c>
      <c r="G115" s="599">
        <f>('Pivot Table for Data Exchange'!$E$378)*100</f>
        <v>0.31511021847408138</v>
      </c>
      <c r="H115" s="597">
        <f>('Pivot Table for Data Exchange'!$E$381)*100</f>
        <v>0</v>
      </c>
      <c r="I115" s="125" t="s">
        <v>185</v>
      </c>
      <c r="J115" s="597">
        <f>('Pivot Table for Data Exchange'!$E$384)*100</f>
        <v>88.30617468939252</v>
      </c>
      <c r="K115" s="597">
        <f>('Pivot Table for Data Exchange'!$E$387)*100</f>
        <v>4.0415391979355269</v>
      </c>
      <c r="L115" s="603">
        <f t="shared" si="27"/>
        <v>7.6522861126719519</v>
      </c>
      <c r="M115" s="597">
        <f>('Pivot Table for Data Exchange'!$E$390)*100</f>
        <v>3.9874300222680068</v>
      </c>
      <c r="N115" s="597">
        <f>('Pivot Table for Data Exchange'!$E$393)*100</f>
        <v>1.3985140787912842</v>
      </c>
      <c r="O115" s="599">
        <f>('Pivot Table for Data Exchange'!$E$396)*100</f>
        <v>2.2663420116126614</v>
      </c>
      <c r="P115" s="597">
        <f>('Pivot Table for Data Exchange'!$E$399)*100</f>
        <v>0</v>
      </c>
      <c r="Q115" s="135">
        <f t="shared" si="14"/>
        <v>100</v>
      </c>
      <c r="R115" s="135">
        <f t="shared" si="15"/>
        <v>100</v>
      </c>
      <c r="S115" s="100"/>
      <c r="T115" s="112"/>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row>
    <row r="116" spans="1:41" ht="15.75" customHeight="1">
      <c r="A116" s="102" t="s">
        <v>186</v>
      </c>
      <c r="B116" s="597">
        <f>('Pivot Table for Data Exchange'!$E$402)*100</f>
        <v>99.714630816450139</v>
      </c>
      <c r="C116" s="597">
        <f>('Pivot Table for Data Exchange'!$E$405)*100</f>
        <v>0.21419797230481807</v>
      </c>
      <c r="D116" s="603">
        <f>SUM(E116:G116)</f>
        <v>7.1171211245051366E-2</v>
      </c>
      <c r="E116" s="597">
        <f>('Pivot Table for Data Exchange'!$E$408)*100</f>
        <v>7.1171211245051366E-2</v>
      </c>
      <c r="F116" s="597">
        <f>('Pivot Table for Data Exchange'!$E$411)*100</f>
        <v>0</v>
      </c>
      <c r="G116" s="599">
        <f>('Pivot Table for Data Exchange'!$E$414)*100</f>
        <v>0</v>
      </c>
      <c r="H116" s="597">
        <f>('Pivot Table for Data Exchange'!$E$417)*100</f>
        <v>0</v>
      </c>
      <c r="I116" s="125" t="s">
        <v>186</v>
      </c>
      <c r="J116" s="597">
        <f>('Pivot Table for Data Exchange'!$E$420)*100</f>
        <v>79.569626514964128</v>
      </c>
      <c r="K116" s="597">
        <f>('Pivot Table for Data Exchange'!$E$423)*100</f>
        <v>19.080990463627121</v>
      </c>
      <c r="L116" s="603">
        <f>SUM(M116:O116)</f>
        <v>1.349383021408745</v>
      </c>
      <c r="M116" s="597">
        <f>('Pivot Table for Data Exchange'!$E$426)*100</f>
        <v>0.97012669359936243</v>
      </c>
      <c r="N116" s="597">
        <f>('Pivot Table for Data Exchange'!$E$429)*100</f>
        <v>0</v>
      </c>
      <c r="O116" s="599">
        <f>('Pivot Table for Data Exchange'!$E$432)*100</f>
        <v>0.37925632780938245</v>
      </c>
      <c r="P116" s="597">
        <f>('Pivot Table for Data Exchange'!$E$435)*100</f>
        <v>0</v>
      </c>
      <c r="Q116" s="135">
        <f t="shared" si="14"/>
        <v>100.00000000000001</v>
      </c>
      <c r="R116" s="135">
        <f t="shared" si="15"/>
        <v>99.999999999999986</v>
      </c>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row>
    <row r="117" spans="1:41" ht="11.25" customHeight="1">
      <c r="A117" s="102"/>
      <c r="B117" s="597"/>
      <c r="C117" s="597"/>
      <c r="D117" s="603"/>
      <c r="E117" s="597"/>
      <c r="F117" s="597"/>
      <c r="G117" s="599"/>
      <c r="H117" s="597"/>
      <c r="I117" s="125"/>
      <c r="J117" s="597"/>
      <c r="K117" s="597"/>
      <c r="L117" s="603"/>
      <c r="M117" s="597"/>
      <c r="N117" s="597"/>
      <c r="O117" s="599"/>
      <c r="P117" s="597"/>
      <c r="Q117" s="135">
        <f t="shared" si="14"/>
        <v>0</v>
      </c>
      <c r="R117" s="135">
        <f t="shared" si="15"/>
        <v>0</v>
      </c>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row>
    <row r="118" spans="1:41" ht="15.75" customHeight="1">
      <c r="A118" s="102" t="s">
        <v>187</v>
      </c>
      <c r="B118" s="597">
        <f>('Pivot Table for Data Exchange'!$E$438)*100</f>
        <v>82.628243512076764</v>
      </c>
      <c r="C118" s="597">
        <f>('Pivot Table for Data Exchange'!$E$441)*100</f>
        <v>2.9901059058277877</v>
      </c>
      <c r="D118" s="603">
        <f>SUM(E118:G118)</f>
        <v>13.681985220295989</v>
      </c>
      <c r="E118" s="597">
        <f>('Pivot Table for Data Exchange'!$E$444)*100</f>
        <v>10.092611406709187</v>
      </c>
      <c r="F118" s="597">
        <f>('Pivot Table for Data Exchange'!$E$447)*100</f>
        <v>0.75396989514909474</v>
      </c>
      <c r="G118" s="599">
        <f>('Pivot Table for Data Exchange'!$E$450)*100</f>
        <v>2.8354039184377076</v>
      </c>
      <c r="H118" s="597">
        <f>('Pivot Table for Data Exchange'!$E$453)*100</f>
        <v>0.69966536179945804</v>
      </c>
      <c r="I118" s="125" t="s">
        <v>187</v>
      </c>
      <c r="J118" s="597">
        <f>('Pivot Table for Data Exchange'!$E$456)*100</f>
        <v>63.774021399090408</v>
      </c>
      <c r="K118" s="597">
        <f>('Pivot Table for Data Exchange'!$E$459)*100</f>
        <v>8.0233444622624148</v>
      </c>
      <c r="L118" s="603">
        <f>SUM(M118:O118)</f>
        <v>22.233102868109047</v>
      </c>
      <c r="M118" s="597">
        <f>('Pivot Table for Data Exchange'!$E$462)*100</f>
        <v>18.831988222613631</v>
      </c>
      <c r="N118" s="597">
        <f>('Pivot Table for Data Exchange'!$E$465)*100</f>
        <v>0.55272220615683898</v>
      </c>
      <c r="O118" s="599">
        <f>('Pivot Table for Data Exchange'!$E$468)*100</f>
        <v>2.8483924393385736</v>
      </c>
      <c r="P118" s="597">
        <f>('Pivot Table for Data Exchange'!$E$471)*100</f>
        <v>5.9695312705381314</v>
      </c>
      <c r="Q118" s="135">
        <f t="shared" si="14"/>
        <v>100</v>
      </c>
      <c r="R118" s="135">
        <f t="shared" si="15"/>
        <v>100</v>
      </c>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row>
    <row r="119" spans="1:41" ht="15.75" customHeight="1">
      <c r="A119" s="102" t="s">
        <v>188</v>
      </c>
      <c r="B119" s="597">
        <f>('Pivot Table for Data Exchange'!$E$474)*100</f>
        <v>89.714701032925277</v>
      </c>
      <c r="C119" s="597">
        <f>('Pivot Table for Data Exchange'!$E$477)*100</f>
        <v>2.6084744185778836</v>
      </c>
      <c r="D119" s="603">
        <f>SUM(E119:G119)</f>
        <v>7.6768245484968451</v>
      </c>
      <c r="E119" s="597">
        <f>('Pivot Table for Data Exchange'!$E$480)*100</f>
        <v>7.2882426458387091</v>
      </c>
      <c r="F119" s="597">
        <f>('Pivot Table for Data Exchange'!$E$483)*100</f>
        <v>0.26007771158470439</v>
      </c>
      <c r="G119" s="599">
        <f>('Pivot Table for Data Exchange'!$E$486)*100</f>
        <v>0.12850419107343083</v>
      </c>
      <c r="H119" s="597">
        <f>('Pivot Table for Data Exchange'!$E$489)*100</f>
        <v>0</v>
      </c>
      <c r="I119" s="125" t="s">
        <v>188</v>
      </c>
      <c r="J119" s="597">
        <f>('Pivot Table for Data Exchange'!$E$492)*100</f>
        <v>57.709047823187575</v>
      </c>
      <c r="K119" s="597">
        <f>('Pivot Table for Data Exchange'!$E$495)*100</f>
        <v>8.264712536915308</v>
      </c>
      <c r="L119" s="603">
        <f>SUM(M119:O119)</f>
        <v>34.026239639897113</v>
      </c>
      <c r="M119" s="597">
        <f>('Pivot Table for Data Exchange'!$E$498)*100</f>
        <v>26.321061970086689</v>
      </c>
      <c r="N119" s="597">
        <f>('Pivot Table for Data Exchange'!$E$501)*100</f>
        <v>0.45429646565685433</v>
      </c>
      <c r="O119" s="599">
        <f>('Pivot Table for Data Exchange'!$E$504)*100</f>
        <v>7.2508812041535684</v>
      </c>
      <c r="P119" s="597">
        <f>('Pivot Table for Data Exchange'!$E$507)*100</f>
        <v>0</v>
      </c>
      <c r="Q119" s="135">
        <f t="shared" si="14"/>
        <v>100</v>
      </c>
      <c r="R119" s="135">
        <f t="shared" si="15"/>
        <v>100</v>
      </c>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row>
    <row r="120" spans="1:41" ht="15.75" customHeight="1">
      <c r="A120" s="102" t="s">
        <v>189</v>
      </c>
      <c r="B120" s="597">
        <f>('Pivot Table for Data Exchange'!$E$510)*100</f>
        <v>96.096778445481618</v>
      </c>
      <c r="C120" s="597">
        <f>('Pivot Table for Data Exchange'!$E$513)*100</f>
        <v>1.0934232836250126</v>
      </c>
      <c r="D120" s="603">
        <f t="shared" ref="D120" si="28">SUM(E120:G120)</f>
        <v>2.809798270893372</v>
      </c>
      <c r="E120" s="597">
        <f>('Pivot Table for Data Exchange'!$E$516)*100</f>
        <v>2.809798270893372</v>
      </c>
      <c r="F120" s="597">
        <f>('Pivot Table for Data Exchange'!$E$519)*100</f>
        <v>0</v>
      </c>
      <c r="G120" s="599">
        <f>('Pivot Table for Data Exchange'!$E$522)*100</f>
        <v>0</v>
      </c>
      <c r="H120" s="597">
        <f>('Pivot Table for Data Exchange'!$E$525)*100</f>
        <v>0</v>
      </c>
      <c r="I120" s="125" t="s">
        <v>189</v>
      </c>
      <c r="J120" s="597">
        <f>('Pivot Table for Data Exchange'!$E$528)*100</f>
        <v>84.37341786083779</v>
      </c>
      <c r="K120" s="597">
        <f>('Pivot Table for Data Exchange'!$E$531)*100</f>
        <v>6.4055999471703098</v>
      </c>
      <c r="L120" s="603">
        <f t="shared" ref="L120" si="29">SUM(M120:O120)</f>
        <v>9.2209821919918991</v>
      </c>
      <c r="M120" s="597">
        <f>('Pivot Table for Data Exchange'!$E$534)*100</f>
        <v>9.1989698210394231</v>
      </c>
      <c r="N120" s="104">
        <f>('Pivot Table for Data Exchange'!$E$537)*100</f>
        <v>2.2012370952475289E-2</v>
      </c>
      <c r="O120" s="599">
        <f>('Pivot Table for Data Exchange'!$E$540)*100</f>
        <v>0</v>
      </c>
      <c r="P120" s="597">
        <f>('Pivot Table for Data Exchange'!$E$543)*100</f>
        <v>0</v>
      </c>
      <c r="Q120" s="135">
        <f t="shared" si="14"/>
        <v>100</v>
      </c>
      <c r="R120" s="135">
        <f t="shared" si="15"/>
        <v>100</v>
      </c>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row>
    <row r="121" spans="1:41" ht="15.75" customHeight="1">
      <c r="A121" s="76" t="s">
        <v>190</v>
      </c>
      <c r="B121" s="600">
        <f>('Pivot Table for Data Exchange'!$E$546)*100</f>
        <v>81.460380709334174</v>
      </c>
      <c r="C121" s="600">
        <f>('Pivot Table for Data Exchange'!$E$549)*100</f>
        <v>5.5386417735592817</v>
      </c>
      <c r="D121" s="604">
        <f>SUM(E121:G121)</f>
        <v>13.00097751710655</v>
      </c>
      <c r="E121" s="600">
        <f>('Pivot Table for Data Exchange'!$E$552)*100</f>
        <v>12.909195376567945</v>
      </c>
      <c r="F121" s="600">
        <f>('Pivot Table for Data Exchange'!$E$555)*100</f>
        <v>9.1782140538604465E-2</v>
      </c>
      <c r="G121" s="601">
        <f>('Pivot Table for Data Exchange'!$E$558)*100</f>
        <v>0</v>
      </c>
      <c r="H121" s="600">
        <f>('Pivot Table for Data Exchange'!$E$561)*100</f>
        <v>0</v>
      </c>
      <c r="I121" s="619" t="s">
        <v>190</v>
      </c>
      <c r="J121" s="600">
        <f>('Pivot Table for Data Exchange'!$E$564)*100</f>
        <v>32.981478151411615</v>
      </c>
      <c r="K121" s="600">
        <f>('Pivot Table for Data Exchange'!$E$567)*100</f>
        <v>44.707786369358026</v>
      </c>
      <c r="L121" s="604">
        <f>SUM(M121:O121)</f>
        <v>22.310735479230352</v>
      </c>
      <c r="M121" s="600">
        <f>('Pivot Table for Data Exchange'!$E$570)*100</f>
        <v>21.458370796619313</v>
      </c>
      <c r="N121" s="600">
        <f>('Pivot Table for Data Exchange'!$E$573)*100</f>
        <v>0.85236468261104115</v>
      </c>
      <c r="O121" s="601">
        <f>('Pivot Table for Data Exchange'!$E$576)*100</f>
        <v>0</v>
      </c>
      <c r="P121" s="600">
        <f>('Pivot Table for Data Exchange'!$E$579)*100</f>
        <v>0</v>
      </c>
      <c r="Q121" s="135">
        <f t="shared" si="14"/>
        <v>100</v>
      </c>
      <c r="R121" s="135">
        <f t="shared" si="15"/>
        <v>100</v>
      </c>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row>
    <row r="122" spans="1:41" s="45" customFormat="1" ht="18" customHeight="1">
      <c r="A122" s="43" t="s">
        <v>219</v>
      </c>
      <c r="B122" s="106"/>
      <c r="C122" s="106"/>
      <c r="D122" s="107"/>
      <c r="E122" s="106"/>
      <c r="F122" s="107"/>
      <c r="G122" s="107"/>
      <c r="H122" s="106"/>
      <c r="I122" s="43" t="s">
        <v>219</v>
      </c>
      <c r="J122" s="106"/>
      <c r="K122" s="106"/>
      <c r="L122" s="107"/>
      <c r="M122" s="106"/>
      <c r="N122" s="107"/>
      <c r="O122" s="107"/>
      <c r="P122" s="106"/>
      <c r="Q122" s="135"/>
      <c r="R122" s="135"/>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row>
    <row r="123" spans="1:41" s="45" customFormat="1" ht="28.5" customHeight="1">
      <c r="A123" s="658" t="s">
        <v>220</v>
      </c>
      <c r="B123" s="663"/>
      <c r="C123" s="663"/>
      <c r="D123" s="663"/>
      <c r="E123" s="663"/>
      <c r="F123" s="663"/>
      <c r="G123" s="663"/>
      <c r="H123" s="663"/>
      <c r="I123" s="658" t="s">
        <v>220</v>
      </c>
      <c r="J123" s="663"/>
      <c r="K123" s="663"/>
      <c r="L123" s="663"/>
      <c r="M123" s="663"/>
      <c r="N123" s="663"/>
      <c r="O123" s="663"/>
      <c r="P123" s="663"/>
      <c r="Q123" s="135"/>
      <c r="R123" s="135"/>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row>
    <row r="124" spans="1:41" s="45" customFormat="1" ht="13.5" customHeight="1">
      <c r="A124" s="113"/>
      <c r="B124" s="114"/>
      <c r="H124" s="47"/>
      <c r="I124" s="113"/>
      <c r="P124" s="115"/>
      <c r="Q124" s="135"/>
      <c r="R124" s="135"/>
    </row>
    <row r="125" spans="1:41" s="45" customFormat="1" ht="13.5" customHeight="1">
      <c r="H125" s="49" t="s">
        <v>900</v>
      </c>
      <c r="I125" s="113"/>
      <c r="P125" s="49" t="s">
        <v>900</v>
      </c>
      <c r="Q125" s="135"/>
      <c r="R125" s="135"/>
    </row>
    <row r="126" spans="1:41" ht="18">
      <c r="A126" s="16" t="s">
        <v>269</v>
      </c>
      <c r="B126" s="71"/>
      <c r="C126" s="71"/>
      <c r="D126" s="71"/>
      <c r="E126" s="71"/>
      <c r="F126" s="71"/>
      <c r="G126" s="71"/>
      <c r="H126" s="72"/>
      <c r="I126" s="16" t="s">
        <v>284</v>
      </c>
      <c r="J126" s="23"/>
      <c r="K126" s="23"/>
      <c r="L126" s="71"/>
      <c r="M126" s="23"/>
      <c r="N126" s="23"/>
      <c r="O126" s="23"/>
      <c r="P126" s="23"/>
      <c r="Q126" s="135"/>
      <c r="R126" s="135"/>
    </row>
    <row r="127" spans="1:41">
      <c r="A127" s="22"/>
      <c r="B127" s="23"/>
      <c r="C127" s="23"/>
      <c r="D127" s="23"/>
      <c r="E127" s="23"/>
      <c r="F127" s="23"/>
      <c r="G127" s="23"/>
      <c r="H127" s="73"/>
      <c r="I127" s="22"/>
      <c r="J127" s="23"/>
      <c r="K127" s="23"/>
      <c r="L127" s="23"/>
      <c r="M127" s="23"/>
      <c r="N127" s="23"/>
      <c r="O127" s="23"/>
      <c r="P127" s="23"/>
      <c r="Q127" s="135"/>
      <c r="R127" s="135"/>
    </row>
    <row r="128" spans="1:41" ht="15.75">
      <c r="A128" s="74" t="s">
        <v>205</v>
      </c>
      <c r="B128" s="23"/>
      <c r="C128" s="23"/>
      <c r="D128" s="23"/>
      <c r="E128" s="23"/>
      <c r="F128" s="23"/>
      <c r="G128" s="23"/>
      <c r="H128" s="73"/>
      <c r="I128" s="74" t="s">
        <v>206</v>
      </c>
      <c r="J128" s="23"/>
      <c r="K128" s="23"/>
      <c r="L128" s="23"/>
      <c r="M128" s="23"/>
      <c r="N128" s="23"/>
      <c r="O128" s="23"/>
      <c r="P128" s="23"/>
      <c r="Q128" s="135"/>
      <c r="R128" s="135"/>
    </row>
    <row r="129" spans="1:41" ht="15.75">
      <c r="A129" s="74" t="s">
        <v>257</v>
      </c>
      <c r="B129" s="23"/>
      <c r="C129" s="23"/>
      <c r="D129" s="23"/>
      <c r="E129" s="23"/>
      <c r="F129" s="23"/>
      <c r="G129" s="23"/>
      <c r="H129" s="73"/>
      <c r="I129" s="74" t="s">
        <v>257</v>
      </c>
      <c r="J129" s="23"/>
      <c r="K129" s="23"/>
      <c r="L129" s="23"/>
      <c r="M129" s="23"/>
      <c r="N129" s="23"/>
      <c r="O129" s="23"/>
      <c r="P129" s="23"/>
      <c r="Q129" s="135"/>
      <c r="R129" s="135"/>
    </row>
    <row r="130" spans="1:41">
      <c r="A130" s="76"/>
      <c r="B130" s="77"/>
      <c r="C130" s="77"/>
      <c r="D130" s="77"/>
      <c r="E130" s="77"/>
      <c r="F130" s="77"/>
      <c r="G130" s="77"/>
      <c r="H130" s="77"/>
      <c r="I130" s="78"/>
      <c r="L130" s="79"/>
      <c r="P130" s="76"/>
      <c r="Q130" s="135"/>
      <c r="R130" s="135"/>
    </row>
    <row r="131" spans="1:41" s="85" customFormat="1">
      <c r="A131" s="80"/>
      <c r="B131" s="81" t="s">
        <v>207</v>
      </c>
      <c r="C131" s="81"/>
      <c r="D131" s="81"/>
      <c r="E131" s="81"/>
      <c r="F131" s="81"/>
      <c r="G131" s="81"/>
      <c r="H131" s="82"/>
      <c r="I131" s="80"/>
      <c r="J131" s="81" t="s">
        <v>207</v>
      </c>
      <c r="K131" s="81"/>
      <c r="L131" s="81"/>
      <c r="M131" s="81"/>
      <c r="N131" s="81"/>
      <c r="O131" s="81"/>
      <c r="P131" s="82"/>
      <c r="Q131" s="135"/>
      <c r="R131" s="135"/>
    </row>
    <row r="132" spans="1:41" s="85" customFormat="1">
      <c r="A132" s="80"/>
      <c r="B132" s="81" t="s">
        <v>208</v>
      </c>
      <c r="C132" s="81"/>
      <c r="D132" s="653" t="s">
        <v>209</v>
      </c>
      <c r="E132" s="654"/>
      <c r="F132" s="654"/>
      <c r="G132" s="654"/>
      <c r="H132" s="86" t="s">
        <v>39</v>
      </c>
      <c r="I132" s="80"/>
      <c r="J132" s="81" t="s">
        <v>208</v>
      </c>
      <c r="K132" s="81"/>
      <c r="L132" s="653" t="s">
        <v>209</v>
      </c>
      <c r="M132" s="654"/>
      <c r="N132" s="654"/>
      <c r="O132" s="654"/>
      <c r="P132" s="86" t="s">
        <v>39</v>
      </c>
      <c r="Q132" s="135"/>
      <c r="R132" s="135"/>
    </row>
    <row r="133" spans="1:41" s="85" customFormat="1" ht="40.5" customHeight="1">
      <c r="A133" s="80"/>
      <c r="B133" s="87" t="s">
        <v>210</v>
      </c>
      <c r="C133" s="88" t="s">
        <v>211</v>
      </c>
      <c r="D133" s="89" t="s">
        <v>212</v>
      </c>
      <c r="E133" s="90" t="s">
        <v>7</v>
      </c>
      <c r="F133" s="87" t="s">
        <v>213</v>
      </c>
      <c r="G133" s="91" t="s">
        <v>214</v>
      </c>
      <c r="H133" s="92" t="s">
        <v>215</v>
      </c>
      <c r="I133" s="80"/>
      <c r="J133" s="87" t="s">
        <v>210</v>
      </c>
      <c r="K133" s="88" t="s">
        <v>211</v>
      </c>
      <c r="L133" s="89" t="s">
        <v>212</v>
      </c>
      <c r="M133" s="90" t="s">
        <v>7</v>
      </c>
      <c r="N133" s="87" t="s">
        <v>213</v>
      </c>
      <c r="O133" s="91" t="s">
        <v>214</v>
      </c>
      <c r="P133" s="92" t="s">
        <v>215</v>
      </c>
      <c r="Q133" s="135"/>
      <c r="R133" s="135"/>
      <c r="T133" s="111"/>
    </row>
    <row r="134" spans="1:41" ht="15.75" customHeight="1">
      <c r="A134" s="99" t="s">
        <v>175</v>
      </c>
      <c r="B134" s="597">
        <f>('Pivot Table for Data Exchange'!$F$6)*100</f>
        <v>90.336655813132026</v>
      </c>
      <c r="C134" s="597">
        <f>('Pivot Table for Data Exchange'!$F$9)*100</f>
        <v>0.54388435777718402</v>
      </c>
      <c r="D134" s="603">
        <f>SUM(E134:G134)</f>
        <v>9.1194598290907933</v>
      </c>
      <c r="E134" s="597">
        <f>('Pivot Table for Data Exchange'!$F$12)*100</f>
        <v>9.1194598290907933</v>
      </c>
      <c r="F134" s="597">
        <f>('Pivot Table for Data Exchange'!$F$15)*100</f>
        <v>0</v>
      </c>
      <c r="G134" s="97">
        <f>('Pivot Table for Data Exchange'!$F$18)*100</f>
        <v>0</v>
      </c>
      <c r="H134" s="597">
        <f>('Pivot Table for Data Exchange'!$F$21)*100</f>
        <v>0</v>
      </c>
      <c r="I134" s="618" t="s">
        <v>175</v>
      </c>
      <c r="J134" s="597">
        <f>('Pivot Table for Data Exchange'!$F$24)*100</f>
        <v>65.979360459199256</v>
      </c>
      <c r="K134" s="597">
        <f>('Pivot Table for Data Exchange'!$F$27)*100</f>
        <v>11.722200736835678</v>
      </c>
      <c r="L134" s="603">
        <f>SUM(M134:O134)</f>
        <v>22.298438803965073</v>
      </c>
      <c r="M134" s="597">
        <f>('Pivot Table for Data Exchange'!$F$30)*100</f>
        <v>22.212949581713449</v>
      </c>
      <c r="N134" s="597">
        <f>('Pivot Table for Data Exchange'!$F$33)*100</f>
        <v>8.5489222251623281E-2</v>
      </c>
      <c r="O134" s="97">
        <f>('Pivot Table for Data Exchange'!$F$36)*100</f>
        <v>0</v>
      </c>
      <c r="P134" s="597">
        <f>('Pivot Table for Data Exchange'!$F$39)*100</f>
        <v>0</v>
      </c>
      <c r="Q134" s="135">
        <f t="shared" si="14"/>
        <v>100</v>
      </c>
      <c r="R134" s="135">
        <f t="shared" si="15"/>
        <v>100</v>
      </c>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row>
    <row r="135" spans="1:41" ht="15.75" customHeight="1">
      <c r="A135" s="102" t="s">
        <v>176</v>
      </c>
      <c r="B135" s="597">
        <f>('Pivot Table for Data Exchange'!$F$42)*100</f>
        <v>83.519070748635954</v>
      </c>
      <c r="C135" s="597">
        <f>('Pivot Table for Data Exchange'!$F$45)*100</f>
        <v>4.582188480720899</v>
      </c>
      <c r="D135" s="603">
        <f t="shared" ref="D135:D137" si="30">SUM(E135:G135)</f>
        <v>11.898740770643158</v>
      </c>
      <c r="E135" s="597">
        <f>('Pivot Table for Data Exchange'!$F$48)*100</f>
        <v>10.828070266821195</v>
      </c>
      <c r="F135" s="597">
        <f>('Pivot Table for Data Exchange'!$F$51)*100</f>
        <v>0.8873204588959932</v>
      </c>
      <c r="G135" s="599">
        <f>('Pivot Table for Data Exchange'!$F$54)*100</f>
        <v>0.18335004492596982</v>
      </c>
      <c r="H135" s="597">
        <f>('Pivot Table for Data Exchange'!$F$57)*100</f>
        <v>0</v>
      </c>
      <c r="I135" s="125" t="s">
        <v>176</v>
      </c>
      <c r="J135" s="597">
        <f>('Pivot Table for Data Exchange'!$F$60)*100</f>
        <v>54.610504053577728</v>
      </c>
      <c r="K135" s="597">
        <f>('Pivot Table for Data Exchange'!$F$63)*100</f>
        <v>8.6958054282692991</v>
      </c>
      <c r="L135" s="603">
        <f t="shared" ref="L135:L137" si="31">SUM(M135:O135)</f>
        <v>36.693690518152984</v>
      </c>
      <c r="M135" s="597">
        <f>('Pivot Table for Data Exchange'!$F$66)*100</f>
        <v>35.044060627423335</v>
      </c>
      <c r="N135" s="597">
        <f>('Pivot Table for Data Exchange'!$F$69)*100</f>
        <v>1.5756080366584422</v>
      </c>
      <c r="O135" s="599">
        <f>('Pivot Table for Data Exchange'!$F$72)*100</f>
        <v>7.4021854071201973E-2</v>
      </c>
      <c r="P135" s="597">
        <f>('Pivot Table for Data Exchange'!$F$75)*100</f>
        <v>0</v>
      </c>
      <c r="Q135" s="135">
        <f t="shared" si="14"/>
        <v>100.00000000000001</v>
      </c>
      <c r="R135" s="135">
        <f t="shared" si="15"/>
        <v>100</v>
      </c>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row>
    <row r="136" spans="1:41" ht="15.75" customHeight="1">
      <c r="A136" s="102" t="s">
        <v>177</v>
      </c>
      <c r="B136" s="597">
        <f>('Pivot Table for Data Exchange'!$F$78)*100</f>
        <v>99.90897799353364</v>
      </c>
      <c r="C136" s="597">
        <f>('Pivot Table for Data Exchange'!$F$81)*100</f>
        <v>0</v>
      </c>
      <c r="D136" s="603">
        <f t="shared" si="30"/>
        <v>9.102200646635504E-2</v>
      </c>
      <c r="E136" s="597">
        <f>('Pivot Table for Data Exchange'!$F$84)*100</f>
        <v>9.102200646635504E-2</v>
      </c>
      <c r="F136" s="597">
        <f>('Pivot Table for Data Exchange'!$F$87)*100</f>
        <v>0</v>
      </c>
      <c r="G136" s="599">
        <f>('Pivot Table for Data Exchange'!$F$90)*100</f>
        <v>0</v>
      </c>
      <c r="H136" s="597">
        <f>('Pivot Table for Data Exchange'!$F$93)*100</f>
        <v>0</v>
      </c>
      <c r="I136" s="125" t="s">
        <v>177</v>
      </c>
      <c r="J136" s="597">
        <f>('Pivot Table for Data Exchange'!$F$96)*100</f>
        <v>99.695877449876107</v>
      </c>
      <c r="K136" s="597">
        <f>('Pivot Table for Data Exchange'!$F$99)*100</f>
        <v>0</v>
      </c>
      <c r="L136" s="603">
        <f t="shared" si="31"/>
        <v>0.30412255012390182</v>
      </c>
      <c r="M136" s="597">
        <f>('Pivot Table for Data Exchange'!$F$102)*100</f>
        <v>0.30412255012390182</v>
      </c>
      <c r="N136" s="597">
        <f>('Pivot Table for Data Exchange'!$F$105)*100</f>
        <v>0</v>
      </c>
      <c r="O136" s="599">
        <f>('Pivot Table for Data Exchange'!$F$108)*100</f>
        <v>0</v>
      </c>
      <c r="P136" s="597">
        <f>('Pivot Table for Data Exchange'!$F$111)*100</f>
        <v>0</v>
      </c>
      <c r="Q136" s="135">
        <f t="shared" si="14"/>
        <v>100</v>
      </c>
      <c r="R136" s="135">
        <f t="shared" si="15"/>
        <v>100.00000000000001</v>
      </c>
      <c r="S136" s="100"/>
      <c r="T136" s="112"/>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row>
    <row r="137" spans="1:41" ht="15.75" customHeight="1">
      <c r="A137" s="102" t="s">
        <v>178</v>
      </c>
      <c r="B137" s="597">
        <f>('Pivot Table for Data Exchange'!$F$114)*100</f>
        <v>78.510395315876991</v>
      </c>
      <c r="C137" s="597">
        <f>('Pivot Table for Data Exchange'!$F$117)*100</f>
        <v>2.2219080956614574</v>
      </c>
      <c r="D137" s="603">
        <f t="shared" si="30"/>
        <v>19.267696588461554</v>
      </c>
      <c r="E137" s="597">
        <f>('Pivot Table for Data Exchange'!$F$120)*100</f>
        <v>19.267696588461554</v>
      </c>
      <c r="F137" s="597">
        <f>('Pivot Table for Data Exchange'!$F$123)*100</f>
        <v>0</v>
      </c>
      <c r="G137" s="599">
        <f>('Pivot Table for Data Exchange'!$F$126)*100</f>
        <v>0</v>
      </c>
      <c r="H137" s="597">
        <f>('Pivot Table for Data Exchange'!$F$129)*100</f>
        <v>0</v>
      </c>
      <c r="I137" s="125" t="s">
        <v>217</v>
      </c>
      <c r="J137" s="597">
        <f>('Pivot Table for Data Exchange'!$F$132)*100</f>
        <v>52.134728798072928</v>
      </c>
      <c r="K137" s="597">
        <f>('Pivot Table for Data Exchange'!$F$135)*100</f>
        <v>5.7147603621563254</v>
      </c>
      <c r="L137" s="603">
        <f t="shared" si="31"/>
        <v>42.150510839770746</v>
      </c>
      <c r="M137" s="597">
        <f>('Pivot Table for Data Exchange'!$F$138)*100</f>
        <v>42.150510839770746</v>
      </c>
      <c r="N137" s="597">
        <f>('Pivot Table for Data Exchange'!$F$141)*100</f>
        <v>0</v>
      </c>
      <c r="O137" s="599">
        <f>('Pivot Table for Data Exchange'!$F$144)*100</f>
        <v>0</v>
      </c>
      <c r="P137" s="597">
        <f>('Pivot Table for Data Exchange'!$F$147)*100</f>
        <v>0</v>
      </c>
      <c r="Q137" s="135">
        <f t="shared" si="14"/>
        <v>100</v>
      </c>
      <c r="R137" s="135">
        <f t="shared" si="15"/>
        <v>100</v>
      </c>
      <c r="S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row>
    <row r="138" spans="1:41" ht="15.75" customHeight="1">
      <c r="A138" s="102"/>
      <c r="B138" s="597"/>
      <c r="C138" s="597"/>
      <c r="D138" s="603"/>
      <c r="E138" s="597"/>
      <c r="F138" s="597"/>
      <c r="G138" s="599"/>
      <c r="H138" s="597"/>
      <c r="I138" s="125"/>
      <c r="J138" s="597"/>
      <c r="K138" s="597"/>
      <c r="L138" s="603"/>
      <c r="M138" s="597"/>
      <c r="N138" s="597"/>
      <c r="O138" s="599"/>
      <c r="P138" s="597"/>
      <c r="Q138" s="135">
        <f t="shared" si="14"/>
        <v>0</v>
      </c>
      <c r="R138" s="135">
        <f t="shared" si="15"/>
        <v>0</v>
      </c>
      <c r="S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row>
    <row r="139" spans="1:41" ht="15.75" customHeight="1">
      <c r="A139" s="102" t="s">
        <v>179</v>
      </c>
      <c r="B139" s="597">
        <f>('Pivot Table for Data Exchange'!$F$150)*100</f>
        <v>0</v>
      </c>
      <c r="C139" s="597">
        <f>('Pivot Table for Data Exchange'!$F$153)*100</f>
        <v>0</v>
      </c>
      <c r="D139" s="603">
        <f t="shared" ref="D139:D142" si="32">SUM(E139:G139)</f>
        <v>0</v>
      </c>
      <c r="E139" s="597">
        <f>('Pivot Table for Data Exchange'!$F$156)*100</f>
        <v>0</v>
      </c>
      <c r="F139" s="597">
        <f>('Pivot Table for Data Exchange'!$F$159)*100</f>
        <v>0</v>
      </c>
      <c r="G139" s="599">
        <f>('Pivot Table for Data Exchange'!$F$162)*100</f>
        <v>0</v>
      </c>
      <c r="H139" s="597">
        <f>('Pivot Table for Data Exchange'!$F$165)*100</f>
        <v>0</v>
      </c>
      <c r="I139" s="125" t="s">
        <v>179</v>
      </c>
      <c r="J139" s="597">
        <f>('Pivot Table for Data Exchange'!$F$168)*100</f>
        <v>0</v>
      </c>
      <c r="K139" s="597">
        <f>('Pivot Table for Data Exchange'!$F$171)*100</f>
        <v>0</v>
      </c>
      <c r="L139" s="603">
        <f t="shared" ref="L139:L142" si="33">SUM(M139:O139)</f>
        <v>0</v>
      </c>
      <c r="M139" s="597">
        <f>('Pivot Table for Data Exchange'!$F$174)*100</f>
        <v>0</v>
      </c>
      <c r="N139" s="597">
        <f>('Pivot Table for Data Exchange'!$F$177)*100</f>
        <v>0</v>
      </c>
      <c r="O139" s="599">
        <f>('Pivot Table for Data Exchange'!$F$180)*100</f>
        <v>0</v>
      </c>
      <c r="P139" s="597">
        <f>('Pivot Table for Data Exchange'!$F$183)*100</f>
        <v>0</v>
      </c>
      <c r="Q139" s="135">
        <f t="shared" ref="Q139:Q202" si="34">SUM(B139,C139,D139,H139)</f>
        <v>0</v>
      </c>
      <c r="R139" s="135">
        <f t="shared" ref="R139:R202" si="35">SUM(J139,K139,L139,P139)</f>
        <v>0</v>
      </c>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row>
    <row r="140" spans="1:41" ht="15.75" customHeight="1">
      <c r="A140" s="102" t="s">
        <v>180</v>
      </c>
      <c r="B140" s="597">
        <f>('Pivot Table for Data Exchange'!$F$186)*100</f>
        <v>86.429200685693061</v>
      </c>
      <c r="C140" s="597">
        <f>('Pivot Table for Data Exchange'!$F$189)*100</f>
        <v>3.4467872569516778</v>
      </c>
      <c r="D140" s="603">
        <f t="shared" si="32"/>
        <v>10.124012057355264</v>
      </c>
      <c r="E140" s="597">
        <f>('Pivot Table for Data Exchange'!$F$192)*100</f>
        <v>10.121753185636589</v>
      </c>
      <c r="F140" s="597">
        <f>('Pivot Table for Data Exchange'!$F$195)*100</f>
        <v>0</v>
      </c>
      <c r="G140" s="630">
        <f>('Pivot Table for Data Exchange'!$F$198)*100</f>
        <v>2.2588717186750964E-3</v>
      </c>
      <c r="H140" s="597">
        <f>('Pivot Table for Data Exchange'!$F$201)*100</f>
        <v>0</v>
      </c>
      <c r="I140" s="125" t="s">
        <v>180</v>
      </c>
      <c r="J140" s="597">
        <f>('Pivot Table for Data Exchange'!$F$204)*100</f>
        <v>75.614978466629353</v>
      </c>
      <c r="K140" s="597">
        <f>('Pivot Table for Data Exchange'!$F$207)*100</f>
        <v>2.4964111048930633</v>
      </c>
      <c r="L140" s="603">
        <f t="shared" si="33"/>
        <v>21.888610428477577</v>
      </c>
      <c r="M140" s="597">
        <f>('Pivot Table for Data Exchange'!$F$210)*100</f>
        <v>21.888610428477577</v>
      </c>
      <c r="N140" s="597">
        <f>('Pivot Table for Data Exchange'!$F$213)*100</f>
        <v>0</v>
      </c>
      <c r="O140" s="599">
        <f>('Pivot Table for Data Exchange'!$F$216)*100</f>
        <v>0</v>
      </c>
      <c r="P140" s="597">
        <f>('Pivot Table for Data Exchange'!$F$219)*100</f>
        <v>0</v>
      </c>
      <c r="Q140" s="135">
        <f t="shared" si="34"/>
        <v>100</v>
      </c>
      <c r="R140" s="135">
        <f t="shared" si="35"/>
        <v>99.999999999999986</v>
      </c>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row>
    <row r="141" spans="1:41" ht="15.75" customHeight="1">
      <c r="A141" s="102" t="s">
        <v>181</v>
      </c>
      <c r="B141" s="597">
        <f>('Pivot Table for Data Exchange'!$F$222)*100</f>
        <v>0</v>
      </c>
      <c r="C141" s="597">
        <f>('Pivot Table for Data Exchange'!$F$225)*100</f>
        <v>0</v>
      </c>
      <c r="D141" s="603">
        <f t="shared" si="32"/>
        <v>0</v>
      </c>
      <c r="E141" s="597">
        <f>('Pivot Table for Data Exchange'!$F$228)*100</f>
        <v>0</v>
      </c>
      <c r="F141" s="597">
        <f>('Pivot Table for Data Exchange'!$F$231)*100</f>
        <v>0</v>
      </c>
      <c r="G141" s="599">
        <f>('Pivot Table for Data Exchange'!$F$234)*100</f>
        <v>0</v>
      </c>
      <c r="H141" s="597">
        <f>('Pivot Table for Data Exchange'!$F$237)*100</f>
        <v>0</v>
      </c>
      <c r="I141" s="125" t="s">
        <v>181</v>
      </c>
      <c r="J141" s="597">
        <f>('Pivot Table for Data Exchange'!$F$240)*100</f>
        <v>0</v>
      </c>
      <c r="K141" s="597">
        <f>('Pivot Table for Data Exchange'!$F$243)*100</f>
        <v>0</v>
      </c>
      <c r="L141" s="603">
        <f t="shared" si="33"/>
        <v>0</v>
      </c>
      <c r="M141" s="597">
        <f>('Pivot Table for Data Exchange'!$F$246)*100</f>
        <v>0</v>
      </c>
      <c r="N141" s="597">
        <f>('Pivot Table for Data Exchange'!$F$249)*100</f>
        <v>0</v>
      </c>
      <c r="O141" s="599">
        <f>('Pivot Table for Data Exchange'!$F$252)*100</f>
        <v>0</v>
      </c>
      <c r="P141" s="597">
        <f>('Pivot Table for Data Exchange'!$F$255)*100</f>
        <v>0</v>
      </c>
      <c r="Q141" s="135">
        <f t="shared" si="34"/>
        <v>0</v>
      </c>
      <c r="R141" s="135">
        <f t="shared" si="35"/>
        <v>0</v>
      </c>
      <c r="S141" s="100"/>
      <c r="T141" s="112"/>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row>
    <row r="142" spans="1:41" ht="15.75" customHeight="1">
      <c r="A142" s="102" t="s">
        <v>222</v>
      </c>
      <c r="B142" s="597">
        <f>('Pivot Table for Data Exchange'!$F$258)*100</f>
        <v>91.057039129946133</v>
      </c>
      <c r="C142" s="597">
        <f>('Pivot Table for Data Exchange'!$F$261)*100</f>
        <v>1.0441796459459953</v>
      </c>
      <c r="D142" s="603">
        <f t="shared" si="32"/>
        <v>7.8987812241078732</v>
      </c>
      <c r="E142" s="597">
        <f>('Pivot Table for Data Exchange'!$F$264)*100</f>
        <v>7.762214549512934</v>
      </c>
      <c r="F142" s="597">
        <f>('Pivot Table for Data Exchange'!$F$267)*100</f>
        <v>0.13656667459493932</v>
      </c>
      <c r="G142" s="599">
        <f>('Pivot Table for Data Exchange'!$F$270)*100</f>
        <v>0</v>
      </c>
      <c r="H142" s="597">
        <f>('Pivot Table for Data Exchange'!$F$273)*100</f>
        <v>0</v>
      </c>
      <c r="I142" s="125" t="s">
        <v>222</v>
      </c>
      <c r="J142" s="597">
        <f>('Pivot Table for Data Exchange'!$F$276)*100</f>
        <v>45.436928702010974</v>
      </c>
      <c r="K142" s="597">
        <f>('Pivot Table for Data Exchange'!$F$279)*100</f>
        <v>3.5189344476364584</v>
      </c>
      <c r="L142" s="603">
        <f t="shared" si="33"/>
        <v>51.044136850352572</v>
      </c>
      <c r="M142" s="597">
        <f>('Pivot Table for Data Exchange'!$F$282)*100</f>
        <v>50.295116218333767</v>
      </c>
      <c r="N142" s="597">
        <f>('Pivot Table for Data Exchange'!$F$285)*100</f>
        <v>0.74902063201880387</v>
      </c>
      <c r="O142" s="599">
        <f>('Pivot Table for Data Exchange'!$F$288)*100</f>
        <v>0</v>
      </c>
      <c r="P142" s="597">
        <f>('Pivot Table for Data Exchange'!$F$291)*100</f>
        <v>0</v>
      </c>
      <c r="Q142" s="135">
        <f t="shared" si="34"/>
        <v>100.00000000000001</v>
      </c>
      <c r="R142" s="135">
        <f t="shared" si="35"/>
        <v>100</v>
      </c>
      <c r="S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row>
    <row r="143" spans="1:41" ht="15.75" customHeight="1">
      <c r="A143" s="102"/>
      <c r="B143" s="597"/>
      <c r="C143" s="597"/>
      <c r="D143" s="603"/>
      <c r="E143" s="597"/>
      <c r="F143" s="597"/>
      <c r="G143" s="599"/>
      <c r="H143" s="597"/>
      <c r="I143" s="125"/>
      <c r="J143" s="597"/>
      <c r="K143" s="597"/>
      <c r="L143" s="603"/>
      <c r="M143" s="597"/>
      <c r="N143" s="597"/>
      <c r="O143" s="599"/>
      <c r="P143" s="597"/>
      <c r="Q143" s="135">
        <f t="shared" si="34"/>
        <v>0</v>
      </c>
      <c r="R143" s="135">
        <f t="shared" si="35"/>
        <v>0</v>
      </c>
      <c r="S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row>
    <row r="144" spans="1:41" ht="15.75" customHeight="1">
      <c r="A144" s="102" t="s">
        <v>183</v>
      </c>
      <c r="B144" s="597">
        <f>('Pivot Table for Data Exchange'!$F$294)*100</f>
        <v>84.48220744983665</v>
      </c>
      <c r="C144" s="597">
        <f>('Pivot Table for Data Exchange'!$F$297)*100</f>
        <v>2.0586457868046981</v>
      </c>
      <c r="D144" s="603">
        <f t="shared" ref="D144:D146" si="36">SUM(E144:G144)</f>
        <v>13.002837699361518</v>
      </c>
      <c r="E144" s="597">
        <f>('Pivot Table for Data Exchange'!$F$300)*100</f>
        <v>12.75585275493313</v>
      </c>
      <c r="F144" s="597">
        <f>('Pivot Table for Data Exchange'!$F$303)*100</f>
        <v>0</v>
      </c>
      <c r="G144" s="599">
        <f>('Pivot Table for Data Exchange'!$F$306)*100</f>
        <v>0.2469849444283875</v>
      </c>
      <c r="H144" s="597">
        <f>('Pivot Table for Data Exchange'!$F$309)*100</f>
        <v>0.45630906399712728</v>
      </c>
      <c r="I144" s="125" t="s">
        <v>183</v>
      </c>
      <c r="J144" s="597">
        <f>('Pivot Table for Data Exchange'!$F$312)*100</f>
        <v>58.710519446619678</v>
      </c>
      <c r="K144" s="597">
        <f>('Pivot Table for Data Exchange'!$F$315)*100</f>
        <v>1.8245888801879404</v>
      </c>
      <c r="L144" s="603">
        <f t="shared" ref="L144:L146" si="37">SUM(M144:O144)</f>
        <v>39.464891673192376</v>
      </c>
      <c r="M144" s="597">
        <f>('Pivot Table for Data Exchange'!$F$318)*100</f>
        <v>38.901070216653615</v>
      </c>
      <c r="N144" s="597">
        <f>('Pivot Table for Data Exchange'!$F$321)*100</f>
        <v>0</v>
      </c>
      <c r="O144" s="599">
        <f>('Pivot Table for Data Exchange'!$F$324)*100</f>
        <v>0.5638214565387627</v>
      </c>
      <c r="P144" s="597">
        <f>('Pivot Table for Data Exchange'!$F$327)*100</f>
        <v>0</v>
      </c>
      <c r="Q144" s="135">
        <f t="shared" si="34"/>
        <v>100</v>
      </c>
      <c r="R144" s="135">
        <f t="shared" si="35"/>
        <v>100</v>
      </c>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row>
    <row r="145" spans="1:41" ht="15.75" customHeight="1">
      <c r="A145" s="102" t="s">
        <v>184</v>
      </c>
      <c r="B145" s="597">
        <f>('Pivot Table for Data Exchange'!$F$330)*100</f>
        <v>82.474504415552133</v>
      </c>
      <c r="C145" s="597">
        <f>('Pivot Table for Data Exchange'!$F$333)*100</f>
        <v>2.2854538800930753</v>
      </c>
      <c r="D145" s="603">
        <f t="shared" si="36"/>
        <v>15.240041704354793</v>
      </c>
      <c r="E145" s="597">
        <f>('Pivot Table for Data Exchange'!$F$336)*100</f>
        <v>15.136471286827916</v>
      </c>
      <c r="F145" s="597">
        <f>('Pivot Table for Data Exchange'!$F$339)*100</f>
        <v>0.10357041752687651</v>
      </c>
      <c r="G145" s="599">
        <f>('Pivot Table for Data Exchange'!$F$342)*100</f>
        <v>0</v>
      </c>
      <c r="H145" s="597">
        <f>('Pivot Table for Data Exchange'!$F$345)*100</f>
        <v>0</v>
      </c>
      <c r="I145" s="125" t="s">
        <v>184</v>
      </c>
      <c r="J145" s="597">
        <f>('Pivot Table for Data Exchange'!$F$348)*100</f>
        <v>57.987540914370186</v>
      </c>
      <c r="K145" s="597">
        <f>('Pivot Table for Data Exchange'!$F$351)*100</f>
        <v>17.748917748917751</v>
      </c>
      <c r="L145" s="603">
        <f t="shared" si="37"/>
        <v>24.26354133671207</v>
      </c>
      <c r="M145" s="597">
        <f>('Pivot Table for Data Exchange'!$F$354)*100</f>
        <v>24.26354133671207</v>
      </c>
      <c r="N145" s="597">
        <f>('Pivot Table for Data Exchange'!$F$357)*100</f>
        <v>0</v>
      </c>
      <c r="O145" s="599">
        <f>('Pivot Table for Data Exchange'!$F$360)*100</f>
        <v>0</v>
      </c>
      <c r="P145" s="597">
        <f>('Pivot Table for Data Exchange'!$F$363)*100</f>
        <v>0</v>
      </c>
      <c r="Q145" s="135">
        <f t="shared" si="34"/>
        <v>100</v>
      </c>
      <c r="R145" s="135">
        <f t="shared" si="35"/>
        <v>100</v>
      </c>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row>
    <row r="146" spans="1:41" ht="15.75" customHeight="1">
      <c r="A146" s="102" t="s">
        <v>185</v>
      </c>
      <c r="B146" s="597">
        <f>('Pivot Table for Data Exchange'!$F$366)*100</f>
        <v>0</v>
      </c>
      <c r="C146" s="597">
        <f>('Pivot Table for Data Exchange'!$F$369)*100</f>
        <v>0</v>
      </c>
      <c r="D146" s="603">
        <f t="shared" si="36"/>
        <v>0</v>
      </c>
      <c r="E146" s="597">
        <f>('Pivot Table for Data Exchange'!$F$372)*100</f>
        <v>0</v>
      </c>
      <c r="F146" s="597">
        <f>('Pivot Table for Data Exchange'!$F$375)*100</f>
        <v>0</v>
      </c>
      <c r="G146" s="599">
        <f>('Pivot Table for Data Exchange'!$F$378)*100</f>
        <v>0</v>
      </c>
      <c r="H146" s="597">
        <f>('Pivot Table for Data Exchange'!$F$381)*100</f>
        <v>0</v>
      </c>
      <c r="I146" s="125" t="s">
        <v>185</v>
      </c>
      <c r="J146" s="597">
        <f>('Pivot Table for Data Exchange'!$F$384)*100</f>
        <v>0</v>
      </c>
      <c r="K146" s="597">
        <f>('Pivot Table for Data Exchange'!$F$387)*100</f>
        <v>0</v>
      </c>
      <c r="L146" s="603">
        <f t="shared" si="37"/>
        <v>0</v>
      </c>
      <c r="M146" s="597">
        <f>('Pivot Table for Data Exchange'!$F$390)*100</f>
        <v>0</v>
      </c>
      <c r="N146" s="597">
        <f>('Pivot Table for Data Exchange'!$F$393)*100</f>
        <v>0</v>
      </c>
      <c r="O146" s="599">
        <f>('Pivot Table for Data Exchange'!$F$396)*100</f>
        <v>0</v>
      </c>
      <c r="P146" s="597">
        <f>('Pivot Table for Data Exchange'!$F$399)*100</f>
        <v>0</v>
      </c>
      <c r="Q146" s="135">
        <f t="shared" si="34"/>
        <v>0</v>
      </c>
      <c r="R146" s="135">
        <f t="shared" si="35"/>
        <v>0</v>
      </c>
      <c r="S146" s="100"/>
      <c r="T146" s="112"/>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row>
    <row r="147" spans="1:41" ht="15.75" customHeight="1">
      <c r="A147" s="102" t="s">
        <v>186</v>
      </c>
      <c r="B147" s="597">
        <f>('Pivot Table for Data Exchange'!$F$402)*100</f>
        <v>99.469001816572728</v>
      </c>
      <c r="C147" s="597">
        <f>('Pivot Table for Data Exchange'!$F$405)*100</f>
        <v>0.27597931901811917</v>
      </c>
      <c r="D147" s="603">
        <f>SUM(E147:G147)</f>
        <v>0.25501886440914806</v>
      </c>
      <c r="E147" s="597">
        <f>('Pivot Table for Data Exchange'!$F$408)*100</f>
        <v>0.25501886440914806</v>
      </c>
      <c r="F147" s="597">
        <f>('Pivot Table for Data Exchange'!$F$411)*100</f>
        <v>0</v>
      </c>
      <c r="G147" s="599">
        <f>('Pivot Table for Data Exchange'!$F$414)*100</f>
        <v>0</v>
      </c>
      <c r="H147" s="597">
        <f>('Pivot Table for Data Exchange'!$F$417)*100</f>
        <v>0</v>
      </c>
      <c r="I147" s="125" t="s">
        <v>186</v>
      </c>
      <c r="J147" s="597">
        <f>('Pivot Table for Data Exchange'!$F$420)*100</f>
        <v>94.736163075732165</v>
      </c>
      <c r="K147" s="597">
        <f>('Pivot Table for Data Exchange'!$F$423)*100</f>
        <v>3.7350019352341635</v>
      </c>
      <c r="L147" s="603">
        <f>SUM(M147:O147)</f>
        <v>1.5288349890336732</v>
      </c>
      <c r="M147" s="597">
        <f>('Pivot Table for Data Exchange'!$F$426)*100</f>
        <v>1.5288349890336732</v>
      </c>
      <c r="N147" s="597">
        <f>('Pivot Table for Data Exchange'!$F$429)*100</f>
        <v>0</v>
      </c>
      <c r="O147" s="599">
        <f>('Pivot Table for Data Exchange'!$F$432)*100</f>
        <v>0</v>
      </c>
      <c r="P147" s="597">
        <f>('Pivot Table for Data Exchange'!$F$435)*100</f>
        <v>0</v>
      </c>
      <c r="Q147" s="135">
        <f t="shared" si="34"/>
        <v>100</v>
      </c>
      <c r="R147" s="135">
        <f t="shared" si="35"/>
        <v>100</v>
      </c>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row>
    <row r="148" spans="1:41" ht="15.75" customHeight="1">
      <c r="A148" s="102"/>
      <c r="B148" s="597"/>
      <c r="C148" s="597"/>
      <c r="D148" s="603"/>
      <c r="E148" s="597"/>
      <c r="F148" s="597"/>
      <c r="G148" s="599"/>
      <c r="H148" s="597"/>
      <c r="I148" s="125"/>
      <c r="J148" s="597"/>
      <c r="K148" s="597"/>
      <c r="L148" s="603"/>
      <c r="M148" s="597"/>
      <c r="N148" s="597"/>
      <c r="O148" s="599"/>
      <c r="P148" s="597"/>
      <c r="Q148" s="135">
        <f t="shared" si="34"/>
        <v>0</v>
      </c>
      <c r="R148" s="135">
        <f t="shared" si="35"/>
        <v>0</v>
      </c>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row>
    <row r="149" spans="1:41" ht="15.75" customHeight="1">
      <c r="A149" s="102" t="s">
        <v>187</v>
      </c>
      <c r="B149" s="597">
        <f>('Pivot Table for Data Exchange'!$F$438)*100</f>
        <v>0</v>
      </c>
      <c r="C149" s="597">
        <f>('Pivot Table for Data Exchange'!$F$441)*100</f>
        <v>0</v>
      </c>
      <c r="D149" s="603">
        <f>SUM(E149:G149)</f>
        <v>0</v>
      </c>
      <c r="E149" s="597">
        <f>('Pivot Table for Data Exchange'!$F$444)*100</f>
        <v>0</v>
      </c>
      <c r="F149" s="597">
        <f>('Pivot Table for Data Exchange'!$F$447)*100</f>
        <v>0</v>
      </c>
      <c r="G149" s="599">
        <f>('Pivot Table for Data Exchange'!$F$450)*100</f>
        <v>0</v>
      </c>
      <c r="H149" s="597">
        <f>('Pivot Table for Data Exchange'!$F$453)*100</f>
        <v>0</v>
      </c>
      <c r="I149" s="125" t="s">
        <v>187</v>
      </c>
      <c r="J149" s="597">
        <f>('Pivot Table for Data Exchange'!$F$456)*100</f>
        <v>0</v>
      </c>
      <c r="K149" s="597">
        <f>('Pivot Table for Data Exchange'!$F$459)*100</f>
        <v>0</v>
      </c>
      <c r="L149" s="603">
        <f>SUM(M149:O149)</f>
        <v>0</v>
      </c>
      <c r="M149" s="597">
        <f>('Pivot Table for Data Exchange'!$F$462)*100</f>
        <v>0</v>
      </c>
      <c r="N149" s="597">
        <f>('Pivot Table for Data Exchange'!$F$465)*100</f>
        <v>0</v>
      </c>
      <c r="O149" s="599">
        <f>('Pivot Table for Data Exchange'!$F$468)*100</f>
        <v>0</v>
      </c>
      <c r="P149" s="597">
        <f>('Pivot Table for Data Exchange'!$F$471)*100</f>
        <v>0</v>
      </c>
      <c r="Q149" s="135">
        <f t="shared" si="34"/>
        <v>0</v>
      </c>
      <c r="R149" s="135">
        <f t="shared" si="35"/>
        <v>0</v>
      </c>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row>
    <row r="150" spans="1:41" ht="15.75" customHeight="1">
      <c r="A150" s="102" t="s">
        <v>188</v>
      </c>
      <c r="B150" s="597">
        <f>('Pivot Table for Data Exchange'!$F$474)*100</f>
        <v>30.006236682085131</v>
      </c>
      <c r="C150" s="597">
        <f>('Pivot Table for Data Exchange'!$F$477)*100</f>
        <v>15.520243230601318</v>
      </c>
      <c r="D150" s="603">
        <f>SUM(E150:G150)</f>
        <v>54.473520087313553</v>
      </c>
      <c r="E150" s="597">
        <f>('Pivot Table for Data Exchange'!$F$480)*100</f>
        <v>48.299204823034145</v>
      </c>
      <c r="F150" s="597">
        <f>('Pivot Table for Data Exchange'!$F$483)*100</f>
        <v>2.5791279039550958</v>
      </c>
      <c r="G150" s="599">
        <f>('Pivot Table for Data Exchange'!$F$486)*100</f>
        <v>3.5951873603243074</v>
      </c>
      <c r="H150" s="597">
        <f>('Pivot Table for Data Exchange'!$F$489)*100</f>
        <v>0</v>
      </c>
      <c r="I150" s="125" t="s">
        <v>188</v>
      </c>
      <c r="J150" s="597">
        <f>('Pivot Table for Data Exchange'!$F$492)*100</f>
        <v>16.446744520009755</v>
      </c>
      <c r="K150" s="597">
        <f>('Pivot Table for Data Exchange'!$F$495)*100</f>
        <v>20.166906006990544</v>
      </c>
      <c r="L150" s="603">
        <f>SUM(M150:O150)</f>
        <v>63.386349472999704</v>
      </c>
      <c r="M150" s="597">
        <f>('Pivot Table for Data Exchange'!$F$498)*100</f>
        <v>59.468393529682714</v>
      </c>
      <c r="N150" s="597">
        <f>('Pivot Table for Data Exchange'!$F$501)*100</f>
        <v>2.1378058362912187</v>
      </c>
      <c r="O150" s="599">
        <f>('Pivot Table for Data Exchange'!$F$504)*100</f>
        <v>1.7801501070257675</v>
      </c>
      <c r="P150" s="597">
        <f>('Pivot Table for Data Exchange'!$F$507)*100</f>
        <v>0</v>
      </c>
      <c r="Q150" s="135">
        <f t="shared" si="34"/>
        <v>100</v>
      </c>
      <c r="R150" s="135">
        <f t="shared" si="35"/>
        <v>100</v>
      </c>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row>
    <row r="151" spans="1:41" ht="15.75" customHeight="1">
      <c r="A151" s="102" t="s">
        <v>189</v>
      </c>
      <c r="B151" s="597">
        <f>('Pivot Table for Data Exchange'!$F$510)*100</f>
        <v>96.105104806279599</v>
      </c>
      <c r="C151" s="597">
        <f>('Pivot Table for Data Exchange'!$F$513)*100</f>
        <v>1.8803278720510734</v>
      </c>
      <c r="D151" s="603">
        <f t="shared" ref="D151" si="38">SUM(E151:G151)</f>
        <v>2.0145673216693298</v>
      </c>
      <c r="E151" s="597">
        <f>('Pivot Table for Data Exchange'!$F$516)*100</f>
        <v>1.8752548695945694</v>
      </c>
      <c r="F151" s="597">
        <f>('Pivot Table for Data Exchange'!$F$519)*100</f>
        <v>0.13931245207476045</v>
      </c>
      <c r="G151" s="599">
        <f>('Pivot Table for Data Exchange'!$F$522)*100</f>
        <v>0</v>
      </c>
      <c r="H151" s="597">
        <f>('Pivot Table for Data Exchange'!$F$525)*100</f>
        <v>0</v>
      </c>
      <c r="I151" s="125" t="s">
        <v>189</v>
      </c>
      <c r="J151" s="597">
        <f>('Pivot Table for Data Exchange'!$F$528)*100</f>
        <v>72.484218343854437</v>
      </c>
      <c r="K151" s="597">
        <f>('Pivot Table for Data Exchange'!$F$531)*100</f>
        <v>21.155376372606227</v>
      </c>
      <c r="L151" s="603">
        <f t="shared" ref="L151" si="39">SUM(M151:O151)</f>
        <v>6.3604052835393352</v>
      </c>
      <c r="M151" s="597">
        <f>('Pivot Table for Data Exchange'!$F$534)*100</f>
        <v>3.917564054957297</v>
      </c>
      <c r="N151" s="597">
        <f>('Pivot Table for Data Exchange'!$F$537)*100</f>
        <v>2.4428412285820382</v>
      </c>
      <c r="O151" s="599">
        <f>('Pivot Table for Data Exchange'!$F$540)*100</f>
        <v>0</v>
      </c>
      <c r="P151" s="597">
        <f>('Pivot Table for Data Exchange'!$F$543)*100</f>
        <v>0</v>
      </c>
      <c r="Q151" s="135">
        <f t="shared" si="34"/>
        <v>100</v>
      </c>
      <c r="R151" s="135">
        <f t="shared" si="35"/>
        <v>100</v>
      </c>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row>
    <row r="152" spans="1:41" ht="15.75" customHeight="1">
      <c r="A152" s="76" t="s">
        <v>190</v>
      </c>
      <c r="B152" s="600">
        <f>('Pivot Table for Data Exchange'!$F$546)*100</f>
        <v>0</v>
      </c>
      <c r="C152" s="600">
        <f>('Pivot Table for Data Exchange'!$F$549)*100</f>
        <v>0</v>
      </c>
      <c r="D152" s="604">
        <f>SUM(E152:G152)</f>
        <v>0</v>
      </c>
      <c r="E152" s="600">
        <f>('Pivot Table for Data Exchange'!$F$552)*100</f>
        <v>0</v>
      </c>
      <c r="F152" s="600">
        <f>('Pivot Table for Data Exchange'!$F$555)*100</f>
        <v>0</v>
      </c>
      <c r="G152" s="601">
        <f>('Pivot Table for Data Exchange'!$F$558)*100</f>
        <v>0</v>
      </c>
      <c r="H152" s="600">
        <f>('Pivot Table for Data Exchange'!$F$561)*100</f>
        <v>0</v>
      </c>
      <c r="I152" s="619" t="s">
        <v>190</v>
      </c>
      <c r="J152" s="600">
        <f>('Pivot Table for Data Exchange'!$F$564)*100</f>
        <v>0</v>
      </c>
      <c r="K152" s="600">
        <f>('Pivot Table for Data Exchange'!$F$567)*100</f>
        <v>0</v>
      </c>
      <c r="L152" s="604">
        <f>SUM(M152:O152)</f>
        <v>0</v>
      </c>
      <c r="M152" s="600">
        <f>('Pivot Table for Data Exchange'!$F$570)*100</f>
        <v>0</v>
      </c>
      <c r="N152" s="600">
        <f>('Pivot Table for Data Exchange'!$F$573)*100</f>
        <v>0</v>
      </c>
      <c r="O152" s="601">
        <f>('Pivot Table for Data Exchange'!$F$576)*100</f>
        <v>0</v>
      </c>
      <c r="P152" s="600">
        <f>('Pivot Table for Data Exchange'!$F$579)*100</f>
        <v>0</v>
      </c>
      <c r="Q152" s="135">
        <f t="shared" si="34"/>
        <v>0</v>
      </c>
      <c r="R152" s="135">
        <f t="shared" si="35"/>
        <v>0</v>
      </c>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row>
    <row r="153" spans="1:41" s="45" customFormat="1" ht="18" customHeight="1">
      <c r="A153" s="43" t="s">
        <v>219</v>
      </c>
      <c r="B153" s="106"/>
      <c r="C153" s="106"/>
      <c r="D153" s="107"/>
      <c r="E153" s="106"/>
      <c r="F153" s="107"/>
      <c r="G153" s="107"/>
      <c r="H153" s="106"/>
      <c r="I153" s="43" t="s">
        <v>219</v>
      </c>
      <c r="J153" s="106"/>
      <c r="K153" s="106"/>
      <c r="L153" s="107"/>
      <c r="M153" s="106"/>
      <c r="N153" s="107"/>
      <c r="O153" s="107"/>
      <c r="P153" s="106"/>
      <c r="Q153" s="135"/>
      <c r="R153" s="135"/>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row>
    <row r="154" spans="1:41" s="45" customFormat="1" ht="24" customHeight="1">
      <c r="A154" s="658" t="s">
        <v>220</v>
      </c>
      <c r="B154" s="663"/>
      <c r="C154" s="663"/>
      <c r="D154" s="663"/>
      <c r="E154" s="663"/>
      <c r="F154" s="663"/>
      <c r="G154" s="663"/>
      <c r="H154" s="663"/>
      <c r="I154" s="658" t="s">
        <v>220</v>
      </c>
      <c r="J154" s="663"/>
      <c r="K154" s="663"/>
      <c r="L154" s="663"/>
      <c r="M154" s="663"/>
      <c r="N154" s="663"/>
      <c r="O154" s="663"/>
      <c r="P154" s="663"/>
      <c r="Q154" s="135"/>
      <c r="R154" s="135"/>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row>
    <row r="155" spans="1:41" s="45" customFormat="1" ht="13.5" customHeight="1">
      <c r="A155" s="43"/>
      <c r="B155" s="114"/>
      <c r="H155" s="49" t="s">
        <v>900</v>
      </c>
      <c r="I155" s="43"/>
      <c r="P155" s="49" t="s">
        <v>900</v>
      </c>
      <c r="Q155" s="135"/>
      <c r="R155" s="135"/>
    </row>
    <row r="156" spans="1:41" ht="18">
      <c r="A156" s="16" t="s">
        <v>270</v>
      </c>
      <c r="B156" s="71"/>
      <c r="C156" s="71"/>
      <c r="D156" s="71"/>
      <c r="E156" s="71"/>
      <c r="F156" s="71"/>
      <c r="G156" s="71"/>
      <c r="H156" s="72"/>
      <c r="I156" s="16" t="s">
        <v>285</v>
      </c>
      <c r="J156" s="23"/>
      <c r="K156" s="23"/>
      <c r="L156" s="71"/>
      <c r="M156" s="23"/>
      <c r="N156" s="23"/>
      <c r="O156" s="23"/>
      <c r="P156" s="23"/>
      <c r="Q156" s="135"/>
      <c r="R156" s="135"/>
    </row>
    <row r="157" spans="1:41">
      <c r="A157" s="22"/>
      <c r="B157" s="23"/>
      <c r="C157" s="23"/>
      <c r="D157" s="23"/>
      <c r="E157" s="23"/>
      <c r="F157" s="23"/>
      <c r="G157" s="23"/>
      <c r="H157" s="73"/>
      <c r="I157" s="22"/>
      <c r="J157" s="23"/>
      <c r="K157" s="23"/>
      <c r="L157" s="23"/>
      <c r="M157" s="23"/>
      <c r="N157" s="23"/>
      <c r="O157" s="23"/>
      <c r="P157" s="23"/>
      <c r="Q157" s="135"/>
      <c r="R157" s="135"/>
    </row>
    <row r="158" spans="1:41" ht="15.75">
      <c r="A158" s="74" t="s">
        <v>205</v>
      </c>
      <c r="B158" s="23"/>
      <c r="C158" s="23"/>
      <c r="D158" s="23"/>
      <c r="E158" s="23"/>
      <c r="F158" s="23"/>
      <c r="G158" s="23"/>
      <c r="H158" s="73"/>
      <c r="I158" s="74" t="s">
        <v>206</v>
      </c>
      <c r="J158" s="23"/>
      <c r="K158" s="23"/>
      <c r="L158" s="23"/>
      <c r="M158" s="23"/>
      <c r="N158" s="23"/>
      <c r="O158" s="23"/>
      <c r="P158" s="23"/>
      <c r="Q158" s="135"/>
      <c r="R158" s="135"/>
    </row>
    <row r="159" spans="1:41" ht="15.75">
      <c r="A159" s="74" t="s">
        <v>256</v>
      </c>
      <c r="B159" s="23"/>
      <c r="C159" s="23"/>
      <c r="D159" s="23"/>
      <c r="E159" s="23"/>
      <c r="F159" s="23"/>
      <c r="G159" s="23"/>
      <c r="H159" s="73"/>
      <c r="I159" s="74" t="s">
        <v>256</v>
      </c>
      <c r="J159" s="23"/>
      <c r="K159" s="23"/>
      <c r="L159" s="23"/>
      <c r="M159" s="23"/>
      <c r="N159" s="23"/>
      <c r="O159" s="23"/>
      <c r="P159" s="23"/>
      <c r="Q159" s="135"/>
      <c r="R159" s="135"/>
    </row>
    <row r="160" spans="1:41">
      <c r="A160" s="76"/>
      <c r="B160" s="77"/>
      <c r="C160" s="77"/>
      <c r="D160" s="77"/>
      <c r="E160" s="77"/>
      <c r="F160" s="77"/>
      <c r="G160" s="77"/>
      <c r="H160" s="77"/>
      <c r="I160" s="78"/>
      <c r="L160" s="79"/>
      <c r="P160" s="76"/>
      <c r="Q160" s="135"/>
      <c r="R160" s="135"/>
    </row>
    <row r="161" spans="1:41" s="85" customFormat="1">
      <c r="A161" s="80"/>
      <c r="B161" s="81" t="s">
        <v>207</v>
      </c>
      <c r="C161" s="81"/>
      <c r="D161" s="81"/>
      <c r="E161" s="81"/>
      <c r="F161" s="81"/>
      <c r="G161" s="81"/>
      <c r="H161" s="82"/>
      <c r="I161" s="80"/>
      <c r="J161" s="81" t="s">
        <v>207</v>
      </c>
      <c r="K161" s="81"/>
      <c r="L161" s="81"/>
      <c r="M161" s="81"/>
      <c r="N161" s="81"/>
      <c r="O161" s="81"/>
      <c r="P161" s="82"/>
      <c r="Q161" s="135"/>
      <c r="R161" s="135"/>
    </row>
    <row r="162" spans="1:41" s="85" customFormat="1">
      <c r="A162" s="80"/>
      <c r="B162" s="81" t="s">
        <v>208</v>
      </c>
      <c r="C162" s="81"/>
      <c r="D162" s="653" t="s">
        <v>209</v>
      </c>
      <c r="E162" s="654"/>
      <c r="F162" s="654"/>
      <c r="G162" s="654"/>
      <c r="H162" s="86" t="s">
        <v>39</v>
      </c>
      <c r="I162" s="80"/>
      <c r="J162" s="81" t="s">
        <v>208</v>
      </c>
      <c r="K162" s="81"/>
      <c r="L162" s="653" t="s">
        <v>209</v>
      </c>
      <c r="M162" s="654"/>
      <c r="N162" s="654"/>
      <c r="O162" s="654"/>
      <c r="P162" s="86" t="s">
        <v>39</v>
      </c>
      <c r="Q162" s="135"/>
      <c r="R162" s="135"/>
    </row>
    <row r="163" spans="1:41" s="85" customFormat="1" ht="40.5" customHeight="1">
      <c r="A163" s="80"/>
      <c r="B163" s="87" t="s">
        <v>210</v>
      </c>
      <c r="C163" s="88" t="s">
        <v>211</v>
      </c>
      <c r="D163" s="89" t="s">
        <v>212</v>
      </c>
      <c r="E163" s="90" t="s">
        <v>7</v>
      </c>
      <c r="F163" s="87" t="s">
        <v>213</v>
      </c>
      <c r="G163" s="91" t="s">
        <v>214</v>
      </c>
      <c r="H163" s="92" t="s">
        <v>215</v>
      </c>
      <c r="I163" s="80"/>
      <c r="J163" s="87" t="s">
        <v>210</v>
      </c>
      <c r="K163" s="88" t="s">
        <v>211</v>
      </c>
      <c r="L163" s="89" t="s">
        <v>212</v>
      </c>
      <c r="M163" s="90" t="s">
        <v>7</v>
      </c>
      <c r="N163" s="87" t="s">
        <v>213</v>
      </c>
      <c r="O163" s="91" t="s">
        <v>214</v>
      </c>
      <c r="P163" s="92" t="s">
        <v>215</v>
      </c>
      <c r="Q163" s="135"/>
      <c r="R163" s="135"/>
      <c r="T163" s="111"/>
    </row>
    <row r="164" spans="1:41" ht="15.75" customHeight="1">
      <c r="A164" s="99" t="s">
        <v>175</v>
      </c>
      <c r="B164" s="597">
        <f>('Pivot Table for Data Exchange'!$G$6)*100</f>
        <v>95.848264232322094</v>
      </c>
      <c r="C164" s="597">
        <f>('Pivot Table for Data Exchange'!$G$9)*100</f>
        <v>1.0758354547370812</v>
      </c>
      <c r="D164" s="603">
        <f>SUM(E164:G164)</f>
        <v>3.0759003129408331</v>
      </c>
      <c r="E164" s="597">
        <f>('Pivot Table for Data Exchange'!$G$12)*100</f>
        <v>3.0759003129408331</v>
      </c>
      <c r="F164" s="597">
        <f>('Pivot Table for Data Exchange'!$G$15)*100</f>
        <v>0</v>
      </c>
      <c r="G164" s="97">
        <f>('Pivot Table for Data Exchange'!$G$18)*100</f>
        <v>0</v>
      </c>
      <c r="H164" s="597">
        <f>('Pivot Table for Data Exchange'!$G$21)*100</f>
        <v>0</v>
      </c>
      <c r="I164" s="618" t="s">
        <v>175</v>
      </c>
      <c r="J164" s="597">
        <f>('Pivot Table for Data Exchange'!$G$24)*100</f>
        <v>24.743069349684774</v>
      </c>
      <c r="K164" s="597">
        <f>('Pivot Table for Data Exchange'!$G$27)*100</f>
        <v>1.1192676396925469</v>
      </c>
      <c r="L164" s="603">
        <f>SUM(M164:O164)</f>
        <v>74.137663010622674</v>
      </c>
      <c r="M164" s="597">
        <f>('Pivot Table for Data Exchange'!$G$30)*100</f>
        <v>74.137663010622674</v>
      </c>
      <c r="N164" s="597">
        <f>('Pivot Table for Data Exchange'!$G$33)*100</f>
        <v>0</v>
      </c>
      <c r="O164" s="97">
        <f>('Pivot Table for Data Exchange'!$G$36)*100</f>
        <v>0</v>
      </c>
      <c r="P164" s="597">
        <f>('Pivot Table for Data Exchange'!$G$39)*100</f>
        <v>0</v>
      </c>
      <c r="Q164" s="135">
        <f>SUM(B164,C164,D164,H164)</f>
        <v>100</v>
      </c>
      <c r="R164" s="135">
        <f t="shared" si="35"/>
        <v>100</v>
      </c>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row>
    <row r="165" spans="1:41" ht="15.75" customHeight="1">
      <c r="A165" s="102" t="s">
        <v>176</v>
      </c>
      <c r="B165" s="597">
        <f>('Pivot Table for Data Exchange'!$G$42)*100</f>
        <v>84.390893507303048</v>
      </c>
      <c r="C165" s="597">
        <f>('Pivot Table for Data Exchange'!$G$45)*100</f>
        <v>1.5923611996543272</v>
      </c>
      <c r="D165" s="603">
        <f t="shared" ref="D165:D167" si="40">SUM(E165:G165)</f>
        <v>14.01674529304263</v>
      </c>
      <c r="E165" s="597">
        <f>('Pivot Table for Data Exchange'!$G$48)*100</f>
        <v>10.569934973862043</v>
      </c>
      <c r="F165" s="597">
        <f>('Pivot Table for Data Exchange'!$G$51)*100</f>
        <v>1.3132729822771898</v>
      </c>
      <c r="G165" s="599">
        <f>('Pivot Table for Data Exchange'!$G$54)*100</f>
        <v>2.1335373369033959</v>
      </c>
      <c r="H165" s="597">
        <f>('Pivot Table for Data Exchange'!$G$57)*100</f>
        <v>0</v>
      </c>
      <c r="I165" s="125" t="s">
        <v>176</v>
      </c>
      <c r="J165" s="597">
        <f>('Pivot Table for Data Exchange'!$G$60)*100</f>
        <v>49.787726746429954</v>
      </c>
      <c r="K165" s="597">
        <f>('Pivot Table for Data Exchange'!$G$63)*100</f>
        <v>0.57892705519104593</v>
      </c>
      <c r="L165" s="603">
        <f t="shared" ref="L165:L167" si="41">SUM(M165:O165)</f>
        <v>49.633346198379002</v>
      </c>
      <c r="M165" s="597">
        <f>('Pivot Table for Data Exchange'!$G$66)*100</f>
        <v>49.633346198379002</v>
      </c>
      <c r="N165" s="597">
        <f>('Pivot Table for Data Exchange'!$G$69)*100</f>
        <v>0</v>
      </c>
      <c r="O165" s="599">
        <f>('Pivot Table for Data Exchange'!$G$72)*100</f>
        <v>0</v>
      </c>
      <c r="P165" s="597">
        <f>('Pivot Table for Data Exchange'!$G$75)*100</f>
        <v>0</v>
      </c>
      <c r="Q165" s="135">
        <f t="shared" si="34"/>
        <v>100.00000000000001</v>
      </c>
      <c r="R165" s="135">
        <f t="shared" si="35"/>
        <v>100</v>
      </c>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row>
    <row r="166" spans="1:41" ht="15.75" customHeight="1">
      <c r="A166" s="102" t="s">
        <v>177</v>
      </c>
      <c r="B166" s="597">
        <f>('Pivot Table for Data Exchange'!$G$78)*100</f>
        <v>0</v>
      </c>
      <c r="C166" s="597">
        <f>('Pivot Table for Data Exchange'!$G$81)*100</f>
        <v>0</v>
      </c>
      <c r="D166" s="603">
        <f t="shared" si="40"/>
        <v>0</v>
      </c>
      <c r="E166" s="597">
        <f>('Pivot Table for Data Exchange'!$G$84)*100</f>
        <v>0</v>
      </c>
      <c r="F166" s="597">
        <f>('Pivot Table for Data Exchange'!$G$87)*100</f>
        <v>0</v>
      </c>
      <c r="G166" s="599">
        <f>('Pivot Table for Data Exchange'!$G$90)*100</f>
        <v>0</v>
      </c>
      <c r="H166" s="597">
        <f>('Pivot Table for Data Exchange'!$G$93)*100</f>
        <v>0</v>
      </c>
      <c r="I166" s="125" t="s">
        <v>177</v>
      </c>
      <c r="J166" s="597">
        <f>('Pivot Table for Data Exchange'!$G$96)*100</f>
        <v>0</v>
      </c>
      <c r="K166" s="597">
        <f>('Pivot Table for Data Exchange'!$G$99)*100</f>
        <v>0</v>
      </c>
      <c r="L166" s="603">
        <f t="shared" si="41"/>
        <v>0</v>
      </c>
      <c r="M166" s="597">
        <f>('Pivot Table for Data Exchange'!$G$102)*100</f>
        <v>0</v>
      </c>
      <c r="N166" s="597">
        <f>('Pivot Table for Data Exchange'!$G$105)*100</f>
        <v>0</v>
      </c>
      <c r="O166" s="599">
        <f>('Pivot Table for Data Exchange'!$G$108)*100</f>
        <v>0</v>
      </c>
      <c r="P166" s="597">
        <f>('Pivot Table for Data Exchange'!$G$111)*100</f>
        <v>0</v>
      </c>
      <c r="Q166" s="135">
        <f t="shared" si="34"/>
        <v>0</v>
      </c>
      <c r="R166" s="135">
        <f t="shared" si="35"/>
        <v>0</v>
      </c>
      <c r="S166" s="100"/>
      <c r="T166" s="112"/>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row>
    <row r="167" spans="1:41" ht="15.75" customHeight="1">
      <c r="A167" s="102" t="s">
        <v>217</v>
      </c>
      <c r="B167" s="597">
        <f>('Pivot Table for Data Exchange'!$G$114)*100</f>
        <v>0</v>
      </c>
      <c r="C167" s="597">
        <f>('Pivot Table for Data Exchange'!$G$117)*100</f>
        <v>0</v>
      </c>
      <c r="D167" s="603">
        <f t="shared" si="40"/>
        <v>0</v>
      </c>
      <c r="E167" s="597">
        <f>('Pivot Table for Data Exchange'!$G$120)*100</f>
        <v>0</v>
      </c>
      <c r="F167" s="597">
        <f>('Pivot Table for Data Exchange'!$G$123)*100</f>
        <v>0</v>
      </c>
      <c r="G167" s="599">
        <f>('Pivot Table for Data Exchange'!$G$126)*100</f>
        <v>0</v>
      </c>
      <c r="H167" s="597">
        <f>('Pivot Table for Data Exchange'!$G$129)*100</f>
        <v>0</v>
      </c>
      <c r="I167" s="125" t="s">
        <v>217</v>
      </c>
      <c r="J167" s="597">
        <f>('Pivot Table for Data Exchange'!$G$132)*100</f>
        <v>0</v>
      </c>
      <c r="K167" s="597">
        <f>('Pivot Table for Data Exchange'!$G$135)*100</f>
        <v>0</v>
      </c>
      <c r="L167" s="603">
        <f t="shared" si="41"/>
        <v>0</v>
      </c>
      <c r="M167" s="597">
        <f>('Pivot Table for Data Exchange'!$G$138)*100</f>
        <v>0</v>
      </c>
      <c r="N167" s="597">
        <f>('Pivot Table for Data Exchange'!$G$141)*100</f>
        <v>0</v>
      </c>
      <c r="O167" s="599">
        <f>('Pivot Table for Data Exchange'!$G$144)*100</f>
        <v>0</v>
      </c>
      <c r="P167" s="597">
        <f>('Pivot Table for Data Exchange'!$G$147)*100</f>
        <v>0</v>
      </c>
      <c r="Q167" s="135">
        <f t="shared" si="34"/>
        <v>0</v>
      </c>
      <c r="R167" s="135">
        <f t="shared" si="35"/>
        <v>0</v>
      </c>
      <c r="S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row>
    <row r="168" spans="1:41" ht="10.5" customHeight="1">
      <c r="A168" s="102"/>
      <c r="B168" s="597"/>
      <c r="C168" s="597"/>
      <c r="D168" s="603"/>
      <c r="E168" s="597"/>
      <c r="F168" s="597"/>
      <c r="G168" s="599"/>
      <c r="H168" s="597"/>
      <c r="I168" s="125"/>
      <c r="J168" s="597"/>
      <c r="K168" s="597"/>
      <c r="L168" s="603"/>
      <c r="M168" s="597"/>
      <c r="N168" s="597"/>
      <c r="O168" s="599"/>
      <c r="P168" s="597"/>
      <c r="Q168" s="135">
        <f t="shared" si="34"/>
        <v>0</v>
      </c>
      <c r="R168" s="135">
        <f t="shared" si="35"/>
        <v>0</v>
      </c>
      <c r="S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row>
    <row r="169" spans="1:41" ht="15.75" customHeight="1">
      <c r="A169" s="102" t="s">
        <v>179</v>
      </c>
      <c r="B169" s="597">
        <f>('Pivot Table for Data Exchange'!$G$150)*100</f>
        <v>0</v>
      </c>
      <c r="C169" s="597">
        <f>('Pivot Table for Data Exchange'!$G$153)*100</f>
        <v>0</v>
      </c>
      <c r="D169" s="603">
        <f t="shared" ref="D169:D172" si="42">SUM(E169:G169)</f>
        <v>0</v>
      </c>
      <c r="E169" s="597">
        <f>('Pivot Table for Data Exchange'!$G$156)*100</f>
        <v>0</v>
      </c>
      <c r="F169" s="597">
        <f>('Pivot Table for Data Exchange'!$G$159)*100</f>
        <v>0</v>
      </c>
      <c r="G169" s="599">
        <f>('Pivot Table for Data Exchange'!$G$162)*100</f>
        <v>0</v>
      </c>
      <c r="H169" s="597">
        <f>('Pivot Table for Data Exchange'!$G$165)*100</f>
        <v>0</v>
      </c>
      <c r="I169" s="125" t="s">
        <v>179</v>
      </c>
      <c r="J169" s="597">
        <f>('Pivot Table for Data Exchange'!$G$168)*100</f>
        <v>0</v>
      </c>
      <c r="K169" s="597">
        <f>('Pivot Table for Data Exchange'!$G$171)*100</f>
        <v>0</v>
      </c>
      <c r="L169" s="603">
        <f t="shared" ref="L169:L172" si="43">SUM(M169:O169)</f>
        <v>0</v>
      </c>
      <c r="M169" s="597">
        <f>('Pivot Table for Data Exchange'!$G$174)*100</f>
        <v>0</v>
      </c>
      <c r="N169" s="597">
        <f>('Pivot Table for Data Exchange'!$G$177)*100</f>
        <v>0</v>
      </c>
      <c r="O169" s="599">
        <f>('Pivot Table for Data Exchange'!$G$180)*100</f>
        <v>0</v>
      </c>
      <c r="P169" s="597">
        <f>('Pivot Table for Data Exchange'!$G$183)*100</f>
        <v>0</v>
      </c>
      <c r="Q169" s="135">
        <f t="shared" si="34"/>
        <v>0</v>
      </c>
      <c r="R169" s="135">
        <f t="shared" si="35"/>
        <v>0</v>
      </c>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row>
    <row r="170" spans="1:41" ht="15.75" customHeight="1">
      <c r="A170" s="102" t="s">
        <v>180</v>
      </c>
      <c r="B170" s="597">
        <f>('Pivot Table for Data Exchange'!$G$186)*100</f>
        <v>0</v>
      </c>
      <c r="C170" s="597">
        <f>('Pivot Table for Data Exchange'!$G$189)*100</f>
        <v>0</v>
      </c>
      <c r="D170" s="603">
        <f t="shared" si="42"/>
        <v>0</v>
      </c>
      <c r="E170" s="597">
        <f>('Pivot Table for Data Exchange'!$G$192)*100</f>
        <v>0</v>
      </c>
      <c r="F170" s="597">
        <f>('Pivot Table for Data Exchange'!$G$195)*100</f>
        <v>0</v>
      </c>
      <c r="G170" s="599">
        <f>('Pivot Table for Data Exchange'!$G$198)*100</f>
        <v>0</v>
      </c>
      <c r="H170" s="597">
        <f>('Pivot Table for Data Exchange'!$G$201)*100</f>
        <v>0</v>
      </c>
      <c r="I170" s="125" t="s">
        <v>180</v>
      </c>
      <c r="J170" s="597">
        <f>('Pivot Table for Data Exchange'!$G$204)*100</f>
        <v>0</v>
      </c>
      <c r="K170" s="597">
        <f>('Pivot Table for Data Exchange'!$G$207)*100</f>
        <v>0</v>
      </c>
      <c r="L170" s="603">
        <f t="shared" si="43"/>
        <v>0</v>
      </c>
      <c r="M170" s="597">
        <f>('Pivot Table for Data Exchange'!$G$210)*100</f>
        <v>0</v>
      </c>
      <c r="N170" s="597">
        <f>('Pivot Table for Data Exchange'!$G$213)*100</f>
        <v>0</v>
      </c>
      <c r="O170" s="599">
        <f>('Pivot Table for Data Exchange'!$G$216)*100</f>
        <v>0</v>
      </c>
      <c r="P170" s="597">
        <f>('Pivot Table for Data Exchange'!$G$219)*100</f>
        <v>0</v>
      </c>
      <c r="Q170" s="135">
        <f t="shared" si="34"/>
        <v>0</v>
      </c>
      <c r="R170" s="135">
        <f t="shared" si="35"/>
        <v>0</v>
      </c>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row>
    <row r="171" spans="1:41" ht="15.75" customHeight="1">
      <c r="A171" s="102" t="s">
        <v>181</v>
      </c>
      <c r="B171" s="597">
        <f>('Pivot Table for Data Exchange'!$G$222)*100</f>
        <v>0</v>
      </c>
      <c r="C171" s="597">
        <f>('Pivot Table for Data Exchange'!$G$225)*100</f>
        <v>0</v>
      </c>
      <c r="D171" s="603">
        <f t="shared" si="42"/>
        <v>0</v>
      </c>
      <c r="E171" s="597">
        <f>('Pivot Table for Data Exchange'!$G$228)*100</f>
        <v>0</v>
      </c>
      <c r="F171" s="597">
        <f>('Pivot Table for Data Exchange'!$G$231)*100</f>
        <v>0</v>
      </c>
      <c r="G171" s="599">
        <f>('Pivot Table for Data Exchange'!$G$234)*100</f>
        <v>0</v>
      </c>
      <c r="H171" s="597">
        <f>('Pivot Table for Data Exchange'!$G$237)*100</f>
        <v>0</v>
      </c>
      <c r="I171" s="125" t="s">
        <v>181</v>
      </c>
      <c r="J171" s="597">
        <f>('Pivot Table for Data Exchange'!$G$240)*100</f>
        <v>0</v>
      </c>
      <c r="K171" s="597">
        <f>('Pivot Table for Data Exchange'!$G$243)*100</f>
        <v>0</v>
      </c>
      <c r="L171" s="603">
        <f t="shared" si="43"/>
        <v>0</v>
      </c>
      <c r="M171" s="597">
        <f>('Pivot Table for Data Exchange'!$G$246)*100</f>
        <v>0</v>
      </c>
      <c r="N171" s="597">
        <f>('Pivot Table for Data Exchange'!$G$249)*100</f>
        <v>0</v>
      </c>
      <c r="O171" s="599">
        <f>('Pivot Table for Data Exchange'!$G$252)*100</f>
        <v>0</v>
      </c>
      <c r="P171" s="597">
        <f>('Pivot Table for Data Exchange'!$G$255)*100</f>
        <v>0</v>
      </c>
      <c r="Q171" s="135">
        <f t="shared" si="34"/>
        <v>0</v>
      </c>
      <c r="R171" s="135">
        <f t="shared" si="35"/>
        <v>0</v>
      </c>
      <c r="S171" s="100"/>
      <c r="T171" s="112"/>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row>
    <row r="172" spans="1:41" ht="15.75" customHeight="1">
      <c r="A172" s="102" t="s">
        <v>222</v>
      </c>
      <c r="B172" s="597">
        <f>('Pivot Table for Data Exchange'!$G$258)*100</f>
        <v>0</v>
      </c>
      <c r="C172" s="597">
        <f>('Pivot Table for Data Exchange'!$G$261)*100</f>
        <v>0</v>
      </c>
      <c r="D172" s="603">
        <f t="shared" si="42"/>
        <v>0</v>
      </c>
      <c r="E172" s="597">
        <f>('Pivot Table for Data Exchange'!$G$264)*100</f>
        <v>0</v>
      </c>
      <c r="F172" s="597">
        <f>('Pivot Table for Data Exchange'!$G$267)*100</f>
        <v>0</v>
      </c>
      <c r="G172" s="599">
        <f>('Pivot Table for Data Exchange'!$G$270)*100</f>
        <v>0</v>
      </c>
      <c r="H172" s="597">
        <f>('Pivot Table for Data Exchange'!$G$273)*100</f>
        <v>0</v>
      </c>
      <c r="I172" s="125" t="s">
        <v>222</v>
      </c>
      <c r="J172" s="597">
        <f>('Pivot Table for Data Exchange'!$G$276)*100</f>
        <v>0</v>
      </c>
      <c r="K172" s="597">
        <f>('Pivot Table for Data Exchange'!$G$279)*100</f>
        <v>0</v>
      </c>
      <c r="L172" s="603">
        <f t="shared" si="43"/>
        <v>0</v>
      </c>
      <c r="M172" s="597">
        <f>('Pivot Table for Data Exchange'!$G$282)*100</f>
        <v>0</v>
      </c>
      <c r="N172" s="597">
        <f>('Pivot Table for Data Exchange'!$G$285)*100</f>
        <v>0</v>
      </c>
      <c r="O172" s="599">
        <f>('Pivot Table for Data Exchange'!$G$288)*100</f>
        <v>0</v>
      </c>
      <c r="P172" s="597">
        <f>('Pivot Table for Data Exchange'!$G$291)*100</f>
        <v>0</v>
      </c>
      <c r="Q172" s="135">
        <f t="shared" si="34"/>
        <v>0</v>
      </c>
      <c r="R172" s="135">
        <f t="shared" si="35"/>
        <v>0</v>
      </c>
      <c r="S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row>
    <row r="173" spans="1:41" ht="11.25" customHeight="1">
      <c r="A173" s="102"/>
      <c r="B173" s="597"/>
      <c r="C173" s="597"/>
      <c r="D173" s="603"/>
      <c r="E173" s="597"/>
      <c r="F173" s="597"/>
      <c r="G173" s="599"/>
      <c r="H173" s="597"/>
      <c r="I173" s="125"/>
      <c r="J173" s="597"/>
      <c r="K173" s="597"/>
      <c r="L173" s="603"/>
      <c r="M173" s="597"/>
      <c r="N173" s="597"/>
      <c r="O173" s="599"/>
      <c r="P173" s="597"/>
      <c r="Q173" s="135">
        <f t="shared" si="34"/>
        <v>0</v>
      </c>
      <c r="R173" s="135">
        <f t="shared" si="35"/>
        <v>0</v>
      </c>
      <c r="S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row>
    <row r="174" spans="1:41" ht="15.75" customHeight="1">
      <c r="A174" s="102" t="s">
        <v>183</v>
      </c>
      <c r="B174" s="597">
        <f>('Pivot Table for Data Exchange'!$G$294)*100</f>
        <v>69.584602691038327</v>
      </c>
      <c r="C174" s="597">
        <f>('Pivot Table for Data Exchange'!$G$297)*100</f>
        <v>0</v>
      </c>
      <c r="D174" s="603">
        <f t="shared" ref="D174:D176" si="44">SUM(E174:G174)</f>
        <v>30.415397308961666</v>
      </c>
      <c r="E174" s="597">
        <f>('Pivot Table for Data Exchange'!$G$300)*100</f>
        <v>30.415397308961666</v>
      </c>
      <c r="F174" s="597">
        <f>('Pivot Table for Data Exchange'!$G$303)*100</f>
        <v>0</v>
      </c>
      <c r="G174" s="599">
        <f>('Pivot Table for Data Exchange'!$G$306)*100</f>
        <v>0</v>
      </c>
      <c r="H174" s="597">
        <f>('Pivot Table for Data Exchange'!$G$309)*100</f>
        <v>0</v>
      </c>
      <c r="I174" s="125" t="s">
        <v>183</v>
      </c>
      <c r="J174" s="597">
        <f>('Pivot Table for Data Exchange'!$G$312)*100</f>
        <v>66.340813152632748</v>
      </c>
      <c r="K174" s="597">
        <f>('Pivot Table for Data Exchange'!$G$315)*100</f>
        <v>6.1319706731837371</v>
      </c>
      <c r="L174" s="603">
        <f t="shared" ref="L174:L176" si="45">SUM(M174:O174)</f>
        <v>27.527216174183515</v>
      </c>
      <c r="M174" s="597">
        <f>('Pivot Table for Data Exchange'!$G$318)*100</f>
        <v>27.527216174183515</v>
      </c>
      <c r="N174" s="597">
        <f>('Pivot Table for Data Exchange'!$G$321)*100</f>
        <v>0</v>
      </c>
      <c r="O174" s="599">
        <f>('Pivot Table for Data Exchange'!$G$324)*100</f>
        <v>0</v>
      </c>
      <c r="P174" s="597">
        <f>('Pivot Table for Data Exchange'!$G$327)*100</f>
        <v>0</v>
      </c>
      <c r="Q174" s="135">
        <f t="shared" si="34"/>
        <v>100</v>
      </c>
      <c r="R174" s="135">
        <f t="shared" si="35"/>
        <v>100</v>
      </c>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row>
    <row r="175" spans="1:41" ht="15.75" customHeight="1">
      <c r="A175" s="102" t="s">
        <v>184</v>
      </c>
      <c r="B175" s="597">
        <f>('Pivot Table for Data Exchange'!$G$330)*100</f>
        <v>79.174152977412732</v>
      </c>
      <c r="C175" s="597">
        <f>('Pivot Table for Data Exchange'!$G$333)*100</f>
        <v>5.706318835168938</v>
      </c>
      <c r="D175" s="603">
        <f t="shared" si="44"/>
        <v>15.11952818741833</v>
      </c>
      <c r="E175" s="597">
        <f>('Pivot Table for Data Exchange'!$G$336)*100</f>
        <v>14.915356076162031</v>
      </c>
      <c r="F175" s="597">
        <f>('Pivot Table for Data Exchange'!$G$339)*100</f>
        <v>0.20417211125630016</v>
      </c>
      <c r="G175" s="599">
        <f>('Pivot Table for Data Exchange'!$G$342)*100</f>
        <v>0</v>
      </c>
      <c r="H175" s="597">
        <f>('Pivot Table for Data Exchange'!$G$345)*100</f>
        <v>0</v>
      </c>
      <c r="I175" s="125" t="s">
        <v>184</v>
      </c>
      <c r="J175" s="597">
        <f>('Pivot Table for Data Exchange'!$G$348)*100</f>
        <v>63.94679100383982</v>
      </c>
      <c r="K175" s="597">
        <f>('Pivot Table for Data Exchange'!$G$351)*100</f>
        <v>6.1345767050649114</v>
      </c>
      <c r="L175" s="603">
        <f t="shared" si="45"/>
        <v>29.918632291095268</v>
      </c>
      <c r="M175" s="597">
        <f>('Pivot Table for Data Exchange'!$G$354)*100</f>
        <v>29.287803986103494</v>
      </c>
      <c r="N175" s="597">
        <f>('Pivot Table for Data Exchange'!$G$357)*100</f>
        <v>0.63082830499177178</v>
      </c>
      <c r="O175" s="599">
        <f>('Pivot Table for Data Exchange'!$G$360)*100</f>
        <v>0</v>
      </c>
      <c r="P175" s="597">
        <f>('Pivot Table for Data Exchange'!$G$363)*100</f>
        <v>0</v>
      </c>
      <c r="Q175" s="135">
        <f t="shared" si="34"/>
        <v>100</v>
      </c>
      <c r="R175" s="135">
        <f t="shared" si="35"/>
        <v>100</v>
      </c>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row>
    <row r="176" spans="1:41" ht="15.75" customHeight="1">
      <c r="A176" s="102" t="s">
        <v>185</v>
      </c>
      <c r="B176" s="597">
        <f>('Pivot Table for Data Exchange'!$G$366)*100</f>
        <v>82.903586676884345</v>
      </c>
      <c r="C176" s="597">
        <f>('Pivot Table for Data Exchange'!$G$369)*100</f>
        <v>0.66899529257211676</v>
      </c>
      <c r="D176" s="603">
        <f t="shared" si="44"/>
        <v>16.427418030543546</v>
      </c>
      <c r="E176" s="597">
        <f>('Pivot Table for Data Exchange'!$G$372)*100</f>
        <v>10.211971098582298</v>
      </c>
      <c r="F176" s="597">
        <f>('Pivot Table for Data Exchange'!$G$375)*100</f>
        <v>4.4960041600525482</v>
      </c>
      <c r="G176" s="599">
        <f>('Pivot Table for Data Exchange'!$G$378)*100</f>
        <v>1.719442771908698</v>
      </c>
      <c r="H176" s="597">
        <f>('Pivot Table for Data Exchange'!$G$381)*100</f>
        <v>0</v>
      </c>
      <c r="I176" s="125" t="s">
        <v>185</v>
      </c>
      <c r="J176" s="597">
        <f>('Pivot Table for Data Exchange'!$G$384)*100</f>
        <v>56.571077198278275</v>
      </c>
      <c r="K176" s="597">
        <f>('Pivot Table for Data Exchange'!$G$387)*100</f>
        <v>1.3565133135819032</v>
      </c>
      <c r="L176" s="603">
        <f t="shared" si="45"/>
        <v>42.072409488139826</v>
      </c>
      <c r="M176" s="597">
        <f>('Pivot Table for Data Exchange'!$G$390)*100</f>
        <v>26.096111204278234</v>
      </c>
      <c r="N176" s="597">
        <f>('Pivot Table for Data Exchange'!$G$393)*100</f>
        <v>14.237799765218851</v>
      </c>
      <c r="O176" s="599">
        <f>('Pivot Table for Data Exchange'!$G$396)*100</f>
        <v>1.7384985186427413</v>
      </c>
      <c r="P176" s="597">
        <f>('Pivot Table for Data Exchange'!$G$399)*100</f>
        <v>0</v>
      </c>
      <c r="Q176" s="135">
        <f t="shared" si="34"/>
        <v>100.00000000000001</v>
      </c>
      <c r="R176" s="135">
        <f t="shared" si="35"/>
        <v>100</v>
      </c>
      <c r="S176" s="100"/>
      <c r="T176" s="112"/>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row>
    <row r="177" spans="1:41" ht="15.75" customHeight="1">
      <c r="A177" s="102" t="s">
        <v>186</v>
      </c>
      <c r="B177" s="597">
        <f>('Pivot Table for Data Exchange'!$G$402)*100</f>
        <v>97.178033025409746</v>
      </c>
      <c r="C177" s="597">
        <f>('Pivot Table for Data Exchange'!$G$405)*100</f>
        <v>0.58705490095234325</v>
      </c>
      <c r="D177" s="603">
        <f>SUM(E177:G177)</f>
        <v>2.2349120736379162</v>
      </c>
      <c r="E177" s="597">
        <f>('Pivot Table for Data Exchange'!$G$408)*100</f>
        <v>2.1713932168894221</v>
      </c>
      <c r="F177" s="597">
        <f>('Pivot Table for Data Exchange'!$G$411)*100</f>
        <v>0</v>
      </c>
      <c r="G177" s="599">
        <f>('Pivot Table for Data Exchange'!$G$414)*100</f>
        <v>6.3518856748493904E-2</v>
      </c>
      <c r="H177" s="597">
        <f>('Pivot Table for Data Exchange'!$G$417)*100</f>
        <v>0</v>
      </c>
      <c r="I177" s="125" t="s">
        <v>186</v>
      </c>
      <c r="J177" s="597">
        <f>('Pivot Table for Data Exchange'!$G$420)*100</f>
        <v>70.659902532555734</v>
      </c>
      <c r="K177" s="597">
        <f>('Pivot Table for Data Exchange'!$G$423)*100</f>
        <v>17.128704961252698</v>
      </c>
      <c r="L177" s="603">
        <f>SUM(M177:O177)</f>
        <v>12.211392506191579</v>
      </c>
      <c r="M177" s="597">
        <f>('Pivot Table for Data Exchange'!$G$426)*100</f>
        <v>12.211392506191579</v>
      </c>
      <c r="N177" s="597">
        <f>('Pivot Table for Data Exchange'!$G$429)*100</f>
        <v>0</v>
      </c>
      <c r="O177" s="599">
        <f>('Pivot Table for Data Exchange'!$G$432)*100</f>
        <v>0</v>
      </c>
      <c r="P177" s="597">
        <f>('Pivot Table for Data Exchange'!$G$435)*100</f>
        <v>0</v>
      </c>
      <c r="Q177" s="135">
        <f t="shared" si="34"/>
        <v>100</v>
      </c>
      <c r="R177" s="135">
        <f t="shared" si="35"/>
        <v>100</v>
      </c>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row>
    <row r="178" spans="1:41" ht="11.25" customHeight="1">
      <c r="A178" s="102"/>
      <c r="B178" s="597"/>
      <c r="C178" s="597"/>
      <c r="D178" s="603"/>
      <c r="E178" s="597"/>
      <c r="F178" s="597"/>
      <c r="G178" s="599"/>
      <c r="H178" s="597"/>
      <c r="I178" s="125"/>
      <c r="J178" s="597"/>
      <c r="K178" s="597"/>
      <c r="L178" s="603"/>
      <c r="M178" s="597"/>
      <c r="N178" s="597"/>
      <c r="O178" s="599"/>
      <c r="P178" s="597"/>
      <c r="Q178" s="135">
        <f t="shared" si="34"/>
        <v>0</v>
      </c>
      <c r="R178" s="135">
        <f t="shared" si="35"/>
        <v>0</v>
      </c>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row>
    <row r="179" spans="1:41" ht="15.75" customHeight="1">
      <c r="A179" s="102" t="s">
        <v>187</v>
      </c>
      <c r="B179" s="597">
        <f>('Pivot Table for Data Exchange'!$G$438)*100</f>
        <v>93.094078603726004</v>
      </c>
      <c r="C179" s="597">
        <f>('Pivot Table for Data Exchange'!$G$441)*100</f>
        <v>0.69855908997377758</v>
      </c>
      <c r="D179" s="603">
        <f>SUM(E179:G179)</f>
        <v>6.1166129381163179</v>
      </c>
      <c r="E179" s="597">
        <f>('Pivot Table for Data Exchange'!$G$444)*100</f>
        <v>4.4060928703708591</v>
      </c>
      <c r="F179" s="597">
        <f>('Pivot Table for Data Exchange'!$G$447)*100</f>
        <v>1.6836118248537195</v>
      </c>
      <c r="G179" s="105">
        <f>('Pivot Table for Data Exchange'!$G$450)*100</f>
        <v>2.6908242891739171E-2</v>
      </c>
      <c r="H179" s="597">
        <f>('Pivot Table for Data Exchange'!$G$453)*100</f>
        <v>9.0749368183904652E-2</v>
      </c>
      <c r="I179" s="125" t="s">
        <v>187</v>
      </c>
      <c r="J179" s="597">
        <f>('Pivot Table for Data Exchange'!$G$456)*100</f>
        <v>40.838951310861418</v>
      </c>
      <c r="K179" s="597">
        <f>('Pivot Table for Data Exchange'!$G$459)*100</f>
        <v>0.79400749063670406</v>
      </c>
      <c r="L179" s="603">
        <f>SUM(M179:O179)</f>
        <v>58.367041198501873</v>
      </c>
      <c r="M179" s="597">
        <f>('Pivot Table for Data Exchange'!$G$462)*100</f>
        <v>49.992509363295881</v>
      </c>
      <c r="N179" s="597">
        <f>('Pivot Table for Data Exchange'!$G$465)*100</f>
        <v>8.3745318352059925</v>
      </c>
      <c r="O179" s="599">
        <f>('Pivot Table for Data Exchange'!$G$468)*100</f>
        <v>0</v>
      </c>
      <c r="P179" s="597">
        <f>('Pivot Table for Data Exchange'!$G$471)*100</f>
        <v>0</v>
      </c>
      <c r="Q179" s="135">
        <f t="shared" si="34"/>
        <v>100.00000000000001</v>
      </c>
      <c r="R179" s="135">
        <f t="shared" si="35"/>
        <v>100</v>
      </c>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row>
    <row r="180" spans="1:41" ht="15.75" customHeight="1">
      <c r="A180" s="102" t="s">
        <v>188</v>
      </c>
      <c r="B180" s="597">
        <f>('Pivot Table for Data Exchange'!$G$474)*100</f>
        <v>77.980371625818591</v>
      </c>
      <c r="C180" s="597">
        <f>('Pivot Table for Data Exchange'!$G$477)*100</f>
        <v>4.5461160310220601</v>
      </c>
      <c r="D180" s="603">
        <f>SUM(E180:G180)</f>
        <v>17.473512343159353</v>
      </c>
      <c r="E180" s="597">
        <f>('Pivot Table for Data Exchange'!$G$480)*100</f>
        <v>15.493992581681368</v>
      </c>
      <c r="F180" s="597">
        <f>('Pivot Table for Data Exchange'!$G$483)*100</f>
        <v>1.9795197614779845</v>
      </c>
      <c r="G180" s="599">
        <f>('Pivot Table for Data Exchange'!$G$486)*100</f>
        <v>0</v>
      </c>
      <c r="H180" s="597">
        <f>('Pivot Table for Data Exchange'!$G$489)*100</f>
        <v>0</v>
      </c>
      <c r="I180" s="125" t="s">
        <v>188</v>
      </c>
      <c r="J180" s="597">
        <f>('Pivot Table for Data Exchange'!$G$492)*100</f>
        <v>70.453333333333333</v>
      </c>
      <c r="K180" s="597">
        <f>('Pivot Table for Data Exchange'!$G$495)*100</f>
        <v>0.53333333333333333</v>
      </c>
      <c r="L180" s="603">
        <f>SUM(M180:O180)</f>
        <v>29.013333333333335</v>
      </c>
      <c r="M180" s="597">
        <f>('Pivot Table for Data Exchange'!$G$498)*100</f>
        <v>21.92</v>
      </c>
      <c r="N180" s="597">
        <f>('Pivot Table for Data Exchange'!$G$501)*100</f>
        <v>7.0933333333333337</v>
      </c>
      <c r="O180" s="599">
        <f>('Pivot Table for Data Exchange'!$G$504)*100</f>
        <v>0</v>
      </c>
      <c r="P180" s="597">
        <f>('Pivot Table for Data Exchange'!$G$507)*100</f>
        <v>0</v>
      </c>
      <c r="Q180" s="135">
        <f t="shared" si="34"/>
        <v>100.00000000000001</v>
      </c>
      <c r="R180" s="135">
        <f t="shared" si="35"/>
        <v>100</v>
      </c>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row>
    <row r="181" spans="1:41" ht="15.75" customHeight="1">
      <c r="A181" s="102" t="s">
        <v>189</v>
      </c>
      <c r="B181" s="597">
        <f>('Pivot Table for Data Exchange'!$G$510)*100</f>
        <v>97.700540626430538</v>
      </c>
      <c r="C181" s="597">
        <f>('Pivot Table for Data Exchange'!$G$513)*100</f>
        <v>0.13052212633785179</v>
      </c>
      <c r="D181" s="603">
        <f t="shared" ref="D181" si="46">SUM(E181:G181)</f>
        <v>2.1689372472316069</v>
      </c>
      <c r="E181" s="597">
        <f>('Pivot Table for Data Exchange'!$G$516)*100</f>
        <v>2.1224032717546337</v>
      </c>
      <c r="F181" s="104">
        <f>('Pivot Table for Data Exchange'!$G$519)*100</f>
        <v>4.6533975476973251E-2</v>
      </c>
      <c r="G181" s="599">
        <f>('Pivot Table for Data Exchange'!$G$522)*100</f>
        <v>0</v>
      </c>
      <c r="H181" s="597">
        <f>('Pivot Table for Data Exchange'!$G$525)*100</f>
        <v>0</v>
      </c>
      <c r="I181" s="125" t="s">
        <v>189</v>
      </c>
      <c r="J181" s="597">
        <f>('Pivot Table for Data Exchange'!$G$528)*100</f>
        <v>88.170116772823775</v>
      </c>
      <c r="K181" s="597">
        <f>('Pivot Table for Data Exchange'!$G$531)*100</f>
        <v>0.63694267515923575</v>
      </c>
      <c r="L181" s="603">
        <f t="shared" ref="L181" si="47">SUM(M181:O181)</f>
        <v>11.192940552016985</v>
      </c>
      <c r="M181" s="597">
        <f>('Pivot Table for Data Exchange'!$G$534)*100</f>
        <v>11.192940552016985</v>
      </c>
      <c r="N181" s="597">
        <f>('Pivot Table for Data Exchange'!$G$537)*100</f>
        <v>0</v>
      </c>
      <c r="O181" s="599">
        <f>('Pivot Table for Data Exchange'!$G$540)*100</f>
        <v>0</v>
      </c>
      <c r="P181" s="597">
        <f>('Pivot Table for Data Exchange'!$G$543)*100</f>
        <v>0</v>
      </c>
      <c r="Q181" s="135">
        <f t="shared" si="34"/>
        <v>100</v>
      </c>
      <c r="R181" s="135">
        <f t="shared" si="35"/>
        <v>100</v>
      </c>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row>
    <row r="182" spans="1:41" ht="15.75" customHeight="1">
      <c r="A182" s="76" t="s">
        <v>190</v>
      </c>
      <c r="B182" s="600">
        <f>('Pivot Table for Data Exchange'!$G$546)*100</f>
        <v>86.70721225791533</v>
      </c>
      <c r="C182" s="600">
        <f>('Pivot Table for Data Exchange'!$G$549)*100</f>
        <v>6.401200661410865</v>
      </c>
      <c r="D182" s="604">
        <f>SUM(E182:G182)</f>
        <v>6.8915870806738013</v>
      </c>
      <c r="E182" s="600">
        <f>('Pivot Table for Data Exchange'!$G$552)*100</f>
        <v>6.8915870806738013</v>
      </c>
      <c r="F182" s="600">
        <f>('Pivot Table for Data Exchange'!$G$555)*100</f>
        <v>0</v>
      </c>
      <c r="G182" s="601">
        <f>('Pivot Table for Data Exchange'!$G$558)*100</f>
        <v>0</v>
      </c>
      <c r="H182" s="600">
        <f>('Pivot Table for Data Exchange'!$G$561)*100</f>
        <v>0</v>
      </c>
      <c r="I182" s="619" t="s">
        <v>190</v>
      </c>
      <c r="J182" s="600">
        <f>('Pivot Table for Data Exchange'!$G$564)*100</f>
        <v>51.475562813484203</v>
      </c>
      <c r="K182" s="600">
        <f>('Pivot Table for Data Exchange'!$G$567)*100</f>
        <v>0</v>
      </c>
      <c r="L182" s="604">
        <f>SUM(M182:O182)</f>
        <v>48.524437186515804</v>
      </c>
      <c r="M182" s="600">
        <f>('Pivot Table for Data Exchange'!$G$570)*100</f>
        <v>48.524437186515804</v>
      </c>
      <c r="N182" s="600">
        <f>('Pivot Table for Data Exchange'!$G$573)*100</f>
        <v>0</v>
      </c>
      <c r="O182" s="601">
        <f>('Pivot Table for Data Exchange'!$G$576)*100</f>
        <v>0</v>
      </c>
      <c r="P182" s="600">
        <f>('Pivot Table for Data Exchange'!$G$579)*100</f>
        <v>0</v>
      </c>
      <c r="Q182" s="135">
        <f t="shared" si="34"/>
        <v>100</v>
      </c>
      <c r="R182" s="135">
        <f t="shared" si="35"/>
        <v>100</v>
      </c>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row>
    <row r="183" spans="1:41" s="45" customFormat="1" ht="18" customHeight="1">
      <c r="A183" s="43" t="s">
        <v>219</v>
      </c>
      <c r="B183" s="106"/>
      <c r="C183" s="106"/>
      <c r="D183" s="107"/>
      <c r="E183" s="106"/>
      <c r="F183" s="107"/>
      <c r="G183" s="107"/>
      <c r="H183" s="106"/>
      <c r="I183" s="43" t="s">
        <v>219</v>
      </c>
      <c r="J183" s="106"/>
      <c r="K183" s="106"/>
      <c r="L183" s="107"/>
      <c r="M183" s="106"/>
      <c r="N183" s="107"/>
      <c r="O183" s="107"/>
      <c r="P183" s="106"/>
      <c r="Q183" s="135"/>
      <c r="R183" s="135"/>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row>
    <row r="184" spans="1:41" s="45" customFormat="1" ht="25.5" customHeight="1">
      <c r="A184" s="658" t="s">
        <v>220</v>
      </c>
      <c r="B184" s="663"/>
      <c r="C184" s="663"/>
      <c r="D184" s="663"/>
      <c r="E184" s="663"/>
      <c r="F184" s="663"/>
      <c r="G184" s="663"/>
      <c r="H184" s="663"/>
      <c r="I184" s="658" t="s">
        <v>220</v>
      </c>
      <c r="J184" s="663"/>
      <c r="K184" s="663"/>
      <c r="L184" s="663"/>
      <c r="M184" s="663"/>
      <c r="N184" s="663"/>
      <c r="O184" s="663"/>
      <c r="P184" s="663"/>
      <c r="Q184" s="135"/>
      <c r="R184" s="135"/>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row>
    <row r="185" spans="1:41" s="45" customFormat="1" ht="16.5" customHeight="1">
      <c r="A185" s="116"/>
      <c r="B185" s="150"/>
      <c r="C185" s="150"/>
      <c r="D185" s="117"/>
      <c r="E185" s="150"/>
      <c r="F185" s="150"/>
      <c r="G185" s="151"/>
      <c r="H185" s="151"/>
      <c r="I185" s="116"/>
      <c r="J185" s="150"/>
      <c r="K185" s="150"/>
      <c r="L185" s="117"/>
      <c r="M185" s="150"/>
      <c r="N185" s="150"/>
      <c r="O185" s="150"/>
      <c r="P185" s="151"/>
      <c r="Q185" s="135"/>
      <c r="R185" s="135"/>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row>
    <row r="186" spans="1:41" s="45" customFormat="1" ht="13.5" customHeight="1">
      <c r="A186" s="43"/>
      <c r="B186" s="114"/>
      <c r="H186" s="49" t="s">
        <v>900</v>
      </c>
      <c r="I186" s="43"/>
      <c r="P186" s="49" t="s">
        <v>900</v>
      </c>
      <c r="Q186" s="135"/>
      <c r="R186" s="135"/>
    </row>
    <row r="187" spans="1:41" ht="18">
      <c r="A187" s="16" t="s">
        <v>271</v>
      </c>
      <c r="B187" s="71"/>
      <c r="C187" s="71"/>
      <c r="D187" s="71"/>
      <c r="E187" s="71"/>
      <c r="F187" s="71"/>
      <c r="G187" s="71"/>
      <c r="H187" s="72"/>
      <c r="I187" s="16" t="s">
        <v>286</v>
      </c>
      <c r="J187" s="23"/>
      <c r="K187" s="23"/>
      <c r="L187" s="71"/>
      <c r="M187" s="23"/>
      <c r="N187" s="23"/>
      <c r="O187" s="23"/>
      <c r="P187" s="23"/>
      <c r="Q187" s="135"/>
      <c r="R187" s="135"/>
    </row>
    <row r="188" spans="1:41">
      <c r="A188" s="22"/>
      <c r="B188" s="23"/>
      <c r="C188" s="23"/>
      <c r="D188" s="23"/>
      <c r="E188" s="23"/>
      <c r="F188" s="23"/>
      <c r="G188" s="23"/>
      <c r="H188" s="73"/>
      <c r="I188" s="22"/>
      <c r="J188" s="23"/>
      <c r="K188" s="23"/>
      <c r="L188" s="23"/>
      <c r="M188" s="23"/>
      <c r="N188" s="23"/>
      <c r="O188" s="23"/>
      <c r="P188" s="23"/>
      <c r="Q188" s="135"/>
      <c r="R188" s="135"/>
    </row>
    <row r="189" spans="1:41" ht="15.75">
      <c r="A189" s="74" t="s">
        <v>205</v>
      </c>
      <c r="B189" s="23"/>
      <c r="C189" s="23"/>
      <c r="D189" s="23"/>
      <c r="E189" s="23"/>
      <c r="F189" s="23"/>
      <c r="G189" s="23"/>
      <c r="H189" s="73"/>
      <c r="I189" s="74" t="s">
        <v>206</v>
      </c>
      <c r="J189" s="23"/>
      <c r="K189" s="23"/>
      <c r="L189" s="23"/>
      <c r="M189" s="23"/>
      <c r="N189" s="23"/>
      <c r="O189" s="23"/>
      <c r="P189" s="23"/>
      <c r="Q189" s="135"/>
      <c r="R189" s="135"/>
    </row>
    <row r="190" spans="1:41" ht="15.75">
      <c r="A190" s="74" t="s">
        <v>255</v>
      </c>
      <c r="B190" s="23"/>
      <c r="C190" s="23"/>
      <c r="D190" s="23"/>
      <c r="E190" s="23"/>
      <c r="F190" s="23"/>
      <c r="G190" s="23"/>
      <c r="H190" s="73"/>
      <c r="I190" s="74" t="s">
        <v>255</v>
      </c>
      <c r="J190" s="23"/>
      <c r="K190" s="23"/>
      <c r="L190" s="23"/>
      <c r="M190" s="23"/>
      <c r="N190" s="23"/>
      <c r="O190" s="23"/>
      <c r="P190" s="23"/>
      <c r="Q190" s="135"/>
      <c r="R190" s="135"/>
    </row>
    <row r="191" spans="1:41">
      <c r="A191" s="76"/>
      <c r="B191" s="77"/>
      <c r="C191" s="77"/>
      <c r="D191" s="77"/>
      <c r="E191" s="77"/>
      <c r="F191" s="77"/>
      <c r="G191" s="77"/>
      <c r="H191" s="77"/>
      <c r="I191" s="78"/>
      <c r="L191" s="79"/>
      <c r="P191" s="76"/>
      <c r="Q191" s="135"/>
      <c r="R191" s="135"/>
    </row>
    <row r="192" spans="1:41" s="85" customFormat="1">
      <c r="A192" s="80"/>
      <c r="B192" s="81" t="s">
        <v>207</v>
      </c>
      <c r="C192" s="81"/>
      <c r="D192" s="81"/>
      <c r="E192" s="81"/>
      <c r="F192" s="81"/>
      <c r="G192" s="81"/>
      <c r="H192" s="82"/>
      <c r="I192" s="80"/>
      <c r="J192" s="81" t="s">
        <v>207</v>
      </c>
      <c r="K192" s="81"/>
      <c r="L192" s="81"/>
      <c r="M192" s="81"/>
      <c r="N192" s="81"/>
      <c r="O192" s="81"/>
      <c r="P192" s="82"/>
      <c r="Q192" s="135"/>
      <c r="R192" s="135"/>
    </row>
    <row r="193" spans="1:41" s="85" customFormat="1">
      <c r="A193" s="80"/>
      <c r="B193" s="81" t="s">
        <v>208</v>
      </c>
      <c r="C193" s="81"/>
      <c r="D193" s="653" t="s">
        <v>209</v>
      </c>
      <c r="E193" s="654"/>
      <c r="F193" s="654"/>
      <c r="G193" s="654"/>
      <c r="H193" s="86" t="s">
        <v>39</v>
      </c>
      <c r="I193" s="80"/>
      <c r="J193" s="81" t="s">
        <v>208</v>
      </c>
      <c r="K193" s="81"/>
      <c r="L193" s="653" t="s">
        <v>209</v>
      </c>
      <c r="M193" s="654"/>
      <c r="N193" s="654"/>
      <c r="O193" s="654"/>
      <c r="P193" s="86" t="s">
        <v>39</v>
      </c>
      <c r="Q193" s="135"/>
      <c r="R193" s="135"/>
    </row>
    <row r="194" spans="1:41" s="85" customFormat="1" ht="40.5" customHeight="1">
      <c r="A194" s="80"/>
      <c r="B194" s="87" t="s">
        <v>210</v>
      </c>
      <c r="C194" s="88" t="s">
        <v>211</v>
      </c>
      <c r="D194" s="89" t="s">
        <v>212</v>
      </c>
      <c r="E194" s="90" t="s">
        <v>7</v>
      </c>
      <c r="F194" s="87" t="s">
        <v>213</v>
      </c>
      <c r="G194" s="91" t="s">
        <v>214</v>
      </c>
      <c r="H194" s="92" t="s">
        <v>215</v>
      </c>
      <c r="I194" s="80"/>
      <c r="J194" s="87" t="s">
        <v>210</v>
      </c>
      <c r="K194" s="88" t="s">
        <v>211</v>
      </c>
      <c r="L194" s="89" t="s">
        <v>212</v>
      </c>
      <c r="M194" s="90" t="s">
        <v>7</v>
      </c>
      <c r="N194" s="87" t="s">
        <v>213</v>
      </c>
      <c r="O194" s="91" t="s">
        <v>214</v>
      </c>
      <c r="P194" s="92" t="s">
        <v>215</v>
      </c>
      <c r="Q194" s="135"/>
      <c r="R194" s="135"/>
      <c r="T194" s="111"/>
    </row>
    <row r="195" spans="1:41" ht="15.75" customHeight="1">
      <c r="A195" s="99" t="s">
        <v>175</v>
      </c>
      <c r="B195" s="597">
        <f>('Pivot Table for Data Exchange'!$H$6)*100</f>
        <v>24.670927233994846</v>
      </c>
      <c r="C195" s="597">
        <f>('Pivot Table for Data Exchange'!$H$9)*100</f>
        <v>4.5105953582240161</v>
      </c>
      <c r="D195" s="603">
        <f>SUM(E195:G195)</f>
        <v>70.818477407781145</v>
      </c>
      <c r="E195" s="597">
        <f>('Pivot Table for Data Exchange'!$H$12)*100</f>
        <v>70.818477407781145</v>
      </c>
      <c r="F195" s="597">
        <f>('Pivot Table for Data Exchange'!$H$15)*100</f>
        <v>0</v>
      </c>
      <c r="G195" s="97">
        <f>('Pivot Table for Data Exchange'!$H$18)*100</f>
        <v>0</v>
      </c>
      <c r="H195" s="597">
        <f>('Pivot Table for Data Exchange'!$H$21)*100</f>
        <v>0</v>
      </c>
      <c r="I195" s="618" t="s">
        <v>175</v>
      </c>
      <c r="J195" s="597">
        <f>('Pivot Table for Data Exchange'!$H$24)*100</f>
        <v>0</v>
      </c>
      <c r="K195" s="597">
        <f>('Pivot Table for Data Exchange'!$H$27)*100</f>
        <v>0</v>
      </c>
      <c r="L195" s="603">
        <f>SUM(M195:O195)</f>
        <v>0</v>
      </c>
      <c r="M195" s="597">
        <f>('Pivot Table for Data Exchange'!$H$30)*100</f>
        <v>0</v>
      </c>
      <c r="N195" s="597">
        <f>('Pivot Table for Data Exchange'!$H$33)*100</f>
        <v>0</v>
      </c>
      <c r="O195" s="97">
        <f>('Pivot Table for Data Exchange'!$H$36)*100</f>
        <v>0</v>
      </c>
      <c r="P195" s="597">
        <f>('Pivot Table for Data Exchange'!$H$39)*100</f>
        <v>0</v>
      </c>
      <c r="Q195" s="135">
        <f t="shared" si="34"/>
        <v>100</v>
      </c>
      <c r="R195" s="135">
        <f t="shared" si="35"/>
        <v>0</v>
      </c>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row>
    <row r="196" spans="1:41" ht="15.75" customHeight="1">
      <c r="A196" s="102" t="s">
        <v>176</v>
      </c>
      <c r="B196" s="597">
        <f>('Pivot Table for Data Exchange'!$H$42)*100</f>
        <v>88.048728150250994</v>
      </c>
      <c r="C196" s="597">
        <f>('Pivot Table for Data Exchange'!$H$45)*100</f>
        <v>1.3648947659099944</v>
      </c>
      <c r="D196" s="603">
        <f t="shared" ref="D196:D198" si="48">SUM(E196:G196)</f>
        <v>10.586377083839013</v>
      </c>
      <c r="E196" s="597">
        <f>('Pivot Table for Data Exchange'!$H$48)*100</f>
        <v>8.0556933348811519</v>
      </c>
      <c r="F196" s="597">
        <f>('Pivot Table for Data Exchange'!$H$51)*100</f>
        <v>2.5306837489578604</v>
      </c>
      <c r="G196" s="599">
        <f>('Pivot Table for Data Exchange'!$H$54)*100</f>
        <v>0</v>
      </c>
      <c r="H196" s="597">
        <f>('Pivot Table for Data Exchange'!$H$57)*100</f>
        <v>0</v>
      </c>
      <c r="I196" s="125" t="s">
        <v>176</v>
      </c>
      <c r="J196" s="597">
        <f>('Pivot Table for Data Exchange'!$H$60)*100</f>
        <v>80.44090056285178</v>
      </c>
      <c r="K196" s="597">
        <f>('Pivot Table for Data Exchange'!$H$63)*100</f>
        <v>0</v>
      </c>
      <c r="L196" s="603">
        <f t="shared" ref="L196:L198" si="49">SUM(M196:O196)</f>
        <v>19.559099437148216</v>
      </c>
      <c r="M196" s="597">
        <f>('Pivot Table for Data Exchange'!$H$66)*100</f>
        <v>0</v>
      </c>
      <c r="N196" s="597">
        <f>('Pivot Table for Data Exchange'!$H$69)*100</f>
        <v>19.559099437148216</v>
      </c>
      <c r="O196" s="599">
        <f>('Pivot Table for Data Exchange'!$H$72)*100</f>
        <v>0</v>
      </c>
      <c r="P196" s="597">
        <f>('Pivot Table for Data Exchange'!$H$75)*100</f>
        <v>0</v>
      </c>
      <c r="Q196" s="135">
        <f t="shared" si="34"/>
        <v>100</v>
      </c>
      <c r="R196" s="135">
        <f t="shared" si="35"/>
        <v>100</v>
      </c>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row>
    <row r="197" spans="1:41" ht="15.75" customHeight="1">
      <c r="A197" s="102" t="s">
        <v>177</v>
      </c>
      <c r="B197" s="597">
        <f>('Pivot Table for Data Exchange'!$H$78)*100</f>
        <v>0</v>
      </c>
      <c r="C197" s="597">
        <f>('Pivot Table for Data Exchange'!$H$81)*100</f>
        <v>0</v>
      </c>
      <c r="D197" s="603">
        <f t="shared" si="48"/>
        <v>0</v>
      </c>
      <c r="E197" s="597">
        <f>('Pivot Table for Data Exchange'!$H$84)*100</f>
        <v>0</v>
      </c>
      <c r="F197" s="597">
        <f>('Pivot Table for Data Exchange'!$H$87)*100</f>
        <v>0</v>
      </c>
      <c r="G197" s="599">
        <f>('Pivot Table for Data Exchange'!$H$90)*100</f>
        <v>0</v>
      </c>
      <c r="H197" s="597">
        <f>('Pivot Table for Data Exchange'!$H$93)*100</f>
        <v>0</v>
      </c>
      <c r="I197" s="125" t="s">
        <v>177</v>
      </c>
      <c r="J197" s="597">
        <f>('Pivot Table for Data Exchange'!$H$96)*100</f>
        <v>0</v>
      </c>
      <c r="K197" s="597">
        <f>('Pivot Table for Data Exchange'!$H$99)*100</f>
        <v>0</v>
      </c>
      <c r="L197" s="603">
        <f t="shared" si="49"/>
        <v>0</v>
      </c>
      <c r="M197" s="597">
        <f>('Pivot Table for Data Exchange'!$H$102)*100</f>
        <v>0</v>
      </c>
      <c r="N197" s="597">
        <f>('Pivot Table for Data Exchange'!$H$105)*100</f>
        <v>0</v>
      </c>
      <c r="O197" s="599">
        <f>('Pivot Table for Data Exchange'!$H$108)*100</f>
        <v>0</v>
      </c>
      <c r="P197" s="597">
        <f>('Pivot Table for Data Exchange'!$H$111)*100</f>
        <v>0</v>
      </c>
      <c r="Q197" s="135">
        <f t="shared" si="34"/>
        <v>0</v>
      </c>
      <c r="R197" s="135">
        <f t="shared" si="35"/>
        <v>0</v>
      </c>
      <c r="S197" s="100"/>
      <c r="T197" s="112"/>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row>
    <row r="198" spans="1:41" ht="15.75" customHeight="1">
      <c r="A198" s="102" t="s">
        <v>217</v>
      </c>
      <c r="B198" s="597">
        <f>('Pivot Table for Data Exchange'!$H$114)*100</f>
        <v>100</v>
      </c>
      <c r="C198" s="597">
        <f>('Pivot Table for Data Exchange'!$H$117)*100</f>
        <v>0</v>
      </c>
      <c r="D198" s="603">
        <f t="shared" si="48"/>
        <v>0</v>
      </c>
      <c r="E198" s="597">
        <f>('Pivot Table for Data Exchange'!$H$120)*100</f>
        <v>0</v>
      </c>
      <c r="F198" s="597">
        <f>('Pivot Table for Data Exchange'!$H$123)*100</f>
        <v>0</v>
      </c>
      <c r="G198" s="599">
        <f>('Pivot Table for Data Exchange'!$H$126)*100</f>
        <v>0</v>
      </c>
      <c r="H198" s="597">
        <f>('Pivot Table for Data Exchange'!$H$129)*100</f>
        <v>0</v>
      </c>
      <c r="I198" s="125" t="s">
        <v>217</v>
      </c>
      <c r="J198" s="597">
        <f>('Pivot Table for Data Exchange'!$H$132)*100</f>
        <v>0</v>
      </c>
      <c r="K198" s="597">
        <f>('Pivot Table for Data Exchange'!$H$135)*100</f>
        <v>0</v>
      </c>
      <c r="L198" s="603">
        <f t="shared" si="49"/>
        <v>0</v>
      </c>
      <c r="M198" s="597">
        <f>('Pivot Table for Data Exchange'!$H$138)*100</f>
        <v>0</v>
      </c>
      <c r="N198" s="597">
        <f>('Pivot Table for Data Exchange'!$H$141)*100</f>
        <v>0</v>
      </c>
      <c r="O198" s="599">
        <f>('Pivot Table for Data Exchange'!$H$144)*100</f>
        <v>0</v>
      </c>
      <c r="P198" s="597">
        <f>('Pivot Table for Data Exchange'!$H$147)*100</f>
        <v>0</v>
      </c>
      <c r="Q198" s="135">
        <f t="shared" si="34"/>
        <v>100</v>
      </c>
      <c r="R198" s="135">
        <f t="shared" si="35"/>
        <v>0</v>
      </c>
      <c r="S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row>
    <row r="199" spans="1:41" ht="15.75" customHeight="1">
      <c r="A199" s="102"/>
      <c r="B199" s="597"/>
      <c r="C199" s="597"/>
      <c r="D199" s="603"/>
      <c r="E199" s="597"/>
      <c r="F199" s="597"/>
      <c r="G199" s="599"/>
      <c r="H199" s="597"/>
      <c r="I199" s="125"/>
      <c r="J199" s="597"/>
      <c r="K199" s="597"/>
      <c r="L199" s="603"/>
      <c r="M199" s="597"/>
      <c r="N199" s="597"/>
      <c r="O199" s="599"/>
      <c r="P199" s="597"/>
      <c r="Q199" s="135">
        <f t="shared" si="34"/>
        <v>0</v>
      </c>
      <c r="R199" s="135">
        <f t="shared" si="35"/>
        <v>0</v>
      </c>
      <c r="S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row>
    <row r="200" spans="1:41" ht="15.75" customHeight="1">
      <c r="A200" s="102" t="s">
        <v>179</v>
      </c>
      <c r="B200" s="597">
        <f>('Pivot Table for Data Exchange'!$H$150)*100</f>
        <v>0</v>
      </c>
      <c r="C200" s="597">
        <f>('Pivot Table for Data Exchange'!$H$153)*100</f>
        <v>0</v>
      </c>
      <c r="D200" s="603">
        <f t="shared" ref="D200:D203" si="50">SUM(E200:G200)</f>
        <v>0</v>
      </c>
      <c r="E200" s="597">
        <f>('Pivot Table for Data Exchange'!$H$156)*100</f>
        <v>0</v>
      </c>
      <c r="F200" s="597">
        <f>('Pivot Table for Data Exchange'!$H$159)*100</f>
        <v>0</v>
      </c>
      <c r="G200" s="599">
        <f>('Pivot Table for Data Exchange'!$H$162)*100</f>
        <v>0</v>
      </c>
      <c r="H200" s="597">
        <f>('Pivot Table for Data Exchange'!$H$165)*100</f>
        <v>0</v>
      </c>
      <c r="I200" s="125" t="s">
        <v>179</v>
      </c>
      <c r="J200" s="597">
        <f>('Pivot Table for Data Exchange'!$H$168)*100</f>
        <v>0</v>
      </c>
      <c r="K200" s="597">
        <f>('Pivot Table for Data Exchange'!$H$171)*100</f>
        <v>0</v>
      </c>
      <c r="L200" s="603">
        <f t="shared" ref="L200:L203" si="51">SUM(M200:O200)</f>
        <v>0</v>
      </c>
      <c r="M200" s="597">
        <f>('Pivot Table for Data Exchange'!$H$174)*100</f>
        <v>0</v>
      </c>
      <c r="N200" s="597">
        <f>('Pivot Table for Data Exchange'!$H$177)*100</f>
        <v>0</v>
      </c>
      <c r="O200" s="599">
        <f>('Pivot Table for Data Exchange'!$H$180)*100</f>
        <v>0</v>
      </c>
      <c r="P200" s="597">
        <f>('Pivot Table for Data Exchange'!$H$183)*100</f>
        <v>0</v>
      </c>
      <c r="Q200" s="135">
        <f t="shared" si="34"/>
        <v>0</v>
      </c>
      <c r="R200" s="135">
        <f t="shared" si="35"/>
        <v>0</v>
      </c>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row>
    <row r="201" spans="1:41" ht="15.75" customHeight="1">
      <c r="A201" s="102" t="s">
        <v>180</v>
      </c>
      <c r="B201" s="597">
        <f>('Pivot Table for Data Exchange'!$H$186)*100</f>
        <v>0</v>
      </c>
      <c r="C201" s="597">
        <f>('Pivot Table for Data Exchange'!$H$189)*100</f>
        <v>0</v>
      </c>
      <c r="D201" s="603">
        <f t="shared" si="50"/>
        <v>0</v>
      </c>
      <c r="E201" s="597">
        <f>('Pivot Table for Data Exchange'!$H$192)*100</f>
        <v>0</v>
      </c>
      <c r="F201" s="597">
        <f>('Pivot Table for Data Exchange'!$H$195)*100</f>
        <v>0</v>
      </c>
      <c r="G201" s="599">
        <f>('Pivot Table for Data Exchange'!$H$198)*100</f>
        <v>0</v>
      </c>
      <c r="H201" s="597">
        <f>('Pivot Table for Data Exchange'!$H$201)*100</f>
        <v>0</v>
      </c>
      <c r="I201" s="125" t="s">
        <v>180</v>
      </c>
      <c r="J201" s="597">
        <f>('Pivot Table for Data Exchange'!$H$204)*100</f>
        <v>0</v>
      </c>
      <c r="K201" s="597">
        <f>('Pivot Table for Data Exchange'!$H$207)*100</f>
        <v>0</v>
      </c>
      <c r="L201" s="603">
        <f t="shared" si="51"/>
        <v>0</v>
      </c>
      <c r="M201" s="597">
        <f>('Pivot Table for Data Exchange'!$H$210)*100</f>
        <v>0</v>
      </c>
      <c r="N201" s="597">
        <f>('Pivot Table for Data Exchange'!$H$213)*100</f>
        <v>0</v>
      </c>
      <c r="O201" s="599">
        <f>('Pivot Table for Data Exchange'!$H$216)*100</f>
        <v>0</v>
      </c>
      <c r="P201" s="597">
        <f>('Pivot Table for Data Exchange'!$H$219)*100</f>
        <v>0</v>
      </c>
      <c r="Q201" s="135">
        <f t="shared" si="34"/>
        <v>0</v>
      </c>
      <c r="R201" s="135">
        <f t="shared" si="35"/>
        <v>0</v>
      </c>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row>
    <row r="202" spans="1:41" ht="15.75" customHeight="1">
      <c r="A202" s="102" t="s">
        <v>181</v>
      </c>
      <c r="B202" s="597">
        <f>('Pivot Table for Data Exchange'!$H$222)*100</f>
        <v>0</v>
      </c>
      <c r="C202" s="597">
        <f>('Pivot Table for Data Exchange'!$H$225)*100</f>
        <v>0</v>
      </c>
      <c r="D202" s="603">
        <f t="shared" si="50"/>
        <v>0</v>
      </c>
      <c r="E202" s="597">
        <f>('Pivot Table for Data Exchange'!$H$228)*100</f>
        <v>0</v>
      </c>
      <c r="F202" s="597">
        <f>('Pivot Table for Data Exchange'!$H$231)*100</f>
        <v>0</v>
      </c>
      <c r="G202" s="599">
        <f>('Pivot Table for Data Exchange'!$H$234)*100</f>
        <v>0</v>
      </c>
      <c r="H202" s="597">
        <f>('Pivot Table for Data Exchange'!$H$237)*100</f>
        <v>0</v>
      </c>
      <c r="I202" s="125" t="s">
        <v>181</v>
      </c>
      <c r="J202" s="597">
        <f>('Pivot Table for Data Exchange'!$H$240)*100</f>
        <v>0</v>
      </c>
      <c r="K202" s="597">
        <f>('Pivot Table for Data Exchange'!$H$243)*100</f>
        <v>0</v>
      </c>
      <c r="L202" s="603">
        <f t="shared" si="51"/>
        <v>0</v>
      </c>
      <c r="M202" s="597">
        <f>('Pivot Table for Data Exchange'!$H$246)*100</f>
        <v>0</v>
      </c>
      <c r="N202" s="597">
        <f>('Pivot Table for Data Exchange'!$H$249)*100</f>
        <v>0</v>
      </c>
      <c r="O202" s="599">
        <f>('Pivot Table for Data Exchange'!$H$252)*100</f>
        <v>0</v>
      </c>
      <c r="P202" s="597">
        <f>('Pivot Table for Data Exchange'!$H$255)*100</f>
        <v>0</v>
      </c>
      <c r="Q202" s="135">
        <f t="shared" si="34"/>
        <v>0</v>
      </c>
      <c r="R202" s="135">
        <f t="shared" si="35"/>
        <v>0</v>
      </c>
      <c r="S202" s="100"/>
      <c r="T202" s="112"/>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row>
    <row r="203" spans="1:41" ht="15.75" customHeight="1">
      <c r="A203" s="102" t="s">
        <v>222</v>
      </c>
      <c r="B203" s="597">
        <f>('Pivot Table for Data Exchange'!$H$258)*100</f>
        <v>100</v>
      </c>
      <c r="C203" s="597">
        <f>('Pivot Table for Data Exchange'!$H$261)*100</f>
        <v>0</v>
      </c>
      <c r="D203" s="603">
        <f t="shared" si="50"/>
        <v>0</v>
      </c>
      <c r="E203" s="597">
        <f>('Pivot Table for Data Exchange'!$H$264)*100</f>
        <v>0</v>
      </c>
      <c r="F203" s="597">
        <f>('Pivot Table for Data Exchange'!$H$267)*100</f>
        <v>0</v>
      </c>
      <c r="G203" s="599">
        <f>('Pivot Table for Data Exchange'!$H$270)*100</f>
        <v>0</v>
      </c>
      <c r="H203" s="597">
        <f>('Pivot Table for Data Exchange'!$H$273)*100</f>
        <v>0</v>
      </c>
      <c r="I203" s="125" t="s">
        <v>222</v>
      </c>
      <c r="J203" s="597">
        <f>('Pivot Table for Data Exchange'!$H$276)*100</f>
        <v>100</v>
      </c>
      <c r="K203" s="597">
        <f>('Pivot Table for Data Exchange'!$H$279)*100</f>
        <v>0</v>
      </c>
      <c r="L203" s="603">
        <f t="shared" si="51"/>
        <v>0</v>
      </c>
      <c r="M203" s="597">
        <f>('Pivot Table for Data Exchange'!$H$282)*100</f>
        <v>0</v>
      </c>
      <c r="N203" s="597">
        <f>('Pivot Table for Data Exchange'!$H$285)*100</f>
        <v>0</v>
      </c>
      <c r="O203" s="599">
        <f>('Pivot Table for Data Exchange'!$H$288)*100</f>
        <v>0</v>
      </c>
      <c r="P203" s="597">
        <f>('Pivot Table for Data Exchange'!$H$291)*100</f>
        <v>0</v>
      </c>
      <c r="Q203" s="135">
        <f t="shared" ref="Q203:Q266" si="52">SUM(B203,C203,D203,H203)</f>
        <v>100</v>
      </c>
      <c r="R203" s="135">
        <f t="shared" ref="R203:R217" si="53">SUM(J203,K203,L203,P203)</f>
        <v>100</v>
      </c>
      <c r="S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row>
    <row r="204" spans="1:41" ht="11.25" customHeight="1">
      <c r="A204" s="102"/>
      <c r="B204" s="597"/>
      <c r="C204" s="597"/>
      <c r="D204" s="603"/>
      <c r="E204" s="597"/>
      <c r="F204" s="597"/>
      <c r="G204" s="599"/>
      <c r="H204" s="597"/>
      <c r="I204" s="125"/>
      <c r="J204" s="597"/>
      <c r="K204" s="597"/>
      <c r="L204" s="603"/>
      <c r="M204" s="597"/>
      <c r="N204" s="597"/>
      <c r="O204" s="599"/>
      <c r="P204" s="597"/>
      <c r="Q204" s="135">
        <f t="shared" si="52"/>
        <v>0</v>
      </c>
      <c r="R204" s="135">
        <f t="shared" si="53"/>
        <v>0</v>
      </c>
      <c r="S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row>
    <row r="205" spans="1:41" ht="15.75" customHeight="1">
      <c r="A205" s="102" t="s">
        <v>183</v>
      </c>
      <c r="B205" s="597">
        <f>('Pivot Table for Data Exchange'!$H$294)*100</f>
        <v>0</v>
      </c>
      <c r="C205" s="597">
        <f>('Pivot Table for Data Exchange'!$H$297)*100</f>
        <v>0</v>
      </c>
      <c r="D205" s="603">
        <f t="shared" ref="D205:D207" si="54">SUM(E205:G205)</f>
        <v>0</v>
      </c>
      <c r="E205" s="597">
        <f>('Pivot Table for Data Exchange'!$H$300)*100</f>
        <v>0</v>
      </c>
      <c r="F205" s="597">
        <f>('Pivot Table for Data Exchange'!$H$303)*100</f>
        <v>0</v>
      </c>
      <c r="G205" s="599">
        <f>('Pivot Table for Data Exchange'!$H$306)*100</f>
        <v>0</v>
      </c>
      <c r="H205" s="597">
        <f>('Pivot Table for Data Exchange'!$H$309)*100</f>
        <v>0</v>
      </c>
      <c r="I205" s="125" t="s">
        <v>183</v>
      </c>
      <c r="J205" s="597">
        <f>('Pivot Table for Data Exchange'!$H$312)*100</f>
        <v>0</v>
      </c>
      <c r="K205" s="597">
        <f>('Pivot Table for Data Exchange'!$H$315)*100</f>
        <v>0</v>
      </c>
      <c r="L205" s="603">
        <f t="shared" ref="L205:L207" si="55">SUM(M205:O205)</f>
        <v>0</v>
      </c>
      <c r="M205" s="597">
        <f>('Pivot Table for Data Exchange'!$H$318)*100</f>
        <v>0</v>
      </c>
      <c r="N205" s="597">
        <f>('Pivot Table for Data Exchange'!$H$321)*100</f>
        <v>0</v>
      </c>
      <c r="O205" s="599">
        <f>('Pivot Table for Data Exchange'!$H$324)*100</f>
        <v>0</v>
      </c>
      <c r="P205" s="597">
        <f>('Pivot Table for Data Exchange'!$H$327)*100</f>
        <v>0</v>
      </c>
      <c r="Q205" s="135">
        <f t="shared" si="52"/>
        <v>0</v>
      </c>
      <c r="R205" s="135">
        <f t="shared" si="53"/>
        <v>0</v>
      </c>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row>
    <row r="206" spans="1:41" ht="15.75" customHeight="1">
      <c r="A206" s="102" t="s">
        <v>184</v>
      </c>
      <c r="B206" s="597">
        <f>('Pivot Table for Data Exchange'!$H$330)*100</f>
        <v>91.018981216298954</v>
      </c>
      <c r="C206" s="597">
        <f>('Pivot Table for Data Exchange'!$H$333)*100</f>
        <v>1.5514823520116929</v>
      </c>
      <c r="D206" s="603">
        <f t="shared" si="54"/>
        <v>7.4295364316893489</v>
      </c>
      <c r="E206" s="597">
        <f>('Pivot Table for Data Exchange'!$H$336)*100</f>
        <v>7.4295364316893489</v>
      </c>
      <c r="F206" s="597">
        <f>('Pivot Table for Data Exchange'!$H$339)*100</f>
        <v>0</v>
      </c>
      <c r="G206" s="599">
        <f>('Pivot Table for Data Exchange'!$H$342)*100</f>
        <v>0</v>
      </c>
      <c r="H206" s="597">
        <f>('Pivot Table for Data Exchange'!$H$345)*100</f>
        <v>0</v>
      </c>
      <c r="I206" s="125" t="s">
        <v>184</v>
      </c>
      <c r="J206" s="597">
        <f>('Pivot Table for Data Exchange'!$H$348)*100</f>
        <v>67.610269914417373</v>
      </c>
      <c r="K206" s="597">
        <f>('Pivot Table for Data Exchange'!$H$351)*100</f>
        <v>8.3607636603028315</v>
      </c>
      <c r="L206" s="603">
        <f t="shared" si="55"/>
        <v>24.028966425279787</v>
      </c>
      <c r="M206" s="597">
        <f>('Pivot Table for Data Exchange'!$H$354)*100</f>
        <v>24.028966425279787</v>
      </c>
      <c r="N206" s="597">
        <f>('Pivot Table for Data Exchange'!$H$357)*100</f>
        <v>0</v>
      </c>
      <c r="O206" s="599">
        <f>('Pivot Table for Data Exchange'!$H$360)*100</f>
        <v>0</v>
      </c>
      <c r="P206" s="597">
        <f>('Pivot Table for Data Exchange'!$H$363)*100</f>
        <v>0</v>
      </c>
      <c r="Q206" s="135">
        <f t="shared" si="52"/>
        <v>99.999999999999986</v>
      </c>
      <c r="R206" s="135">
        <f t="shared" si="53"/>
        <v>100</v>
      </c>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row>
    <row r="207" spans="1:41" ht="15.75" customHeight="1">
      <c r="A207" s="102" t="s">
        <v>185</v>
      </c>
      <c r="B207" s="597">
        <f>('Pivot Table for Data Exchange'!$H$366)*100</f>
        <v>77.431116635591465</v>
      </c>
      <c r="C207" s="597">
        <f>('Pivot Table for Data Exchange'!$H$369)*100</f>
        <v>1.5703335405013465</v>
      </c>
      <c r="D207" s="603">
        <f t="shared" si="54"/>
        <v>20.99854982390719</v>
      </c>
      <c r="E207" s="597">
        <f>('Pivot Table for Data Exchange'!$H$372)*100</f>
        <v>19.100298913847702</v>
      </c>
      <c r="F207" s="597">
        <f>('Pivot Table for Data Exchange'!$H$375)*100</f>
        <v>1.8982509100594867</v>
      </c>
      <c r="G207" s="599">
        <f>('Pivot Table for Data Exchange'!$H$378)*100</f>
        <v>0</v>
      </c>
      <c r="H207" s="597">
        <f>('Pivot Table for Data Exchange'!$H$381)*100</f>
        <v>0</v>
      </c>
      <c r="I207" s="125" t="s">
        <v>185</v>
      </c>
      <c r="J207" s="597">
        <f>('Pivot Table for Data Exchange'!$H$384)*100</f>
        <v>0</v>
      </c>
      <c r="K207" s="597">
        <f>('Pivot Table for Data Exchange'!$H$387)*100</f>
        <v>0</v>
      </c>
      <c r="L207" s="603">
        <f t="shared" si="55"/>
        <v>0</v>
      </c>
      <c r="M207" s="597">
        <f>('Pivot Table for Data Exchange'!$H$390)*100</f>
        <v>0</v>
      </c>
      <c r="N207" s="597">
        <f>('Pivot Table for Data Exchange'!$H$393)*100</f>
        <v>0</v>
      </c>
      <c r="O207" s="599">
        <f>('Pivot Table for Data Exchange'!$H$396)*100</f>
        <v>0</v>
      </c>
      <c r="P207" s="597">
        <f>('Pivot Table for Data Exchange'!$H$399)*100</f>
        <v>0</v>
      </c>
      <c r="Q207" s="135">
        <f t="shared" si="52"/>
        <v>100</v>
      </c>
      <c r="R207" s="135">
        <f t="shared" si="53"/>
        <v>0</v>
      </c>
      <c r="S207" s="100"/>
      <c r="T207" s="112"/>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row>
    <row r="208" spans="1:41" ht="15.75" customHeight="1">
      <c r="A208" s="102" t="s">
        <v>186</v>
      </c>
      <c r="B208" s="597">
        <f>('Pivot Table for Data Exchange'!$H$402)*100</f>
        <v>87.729511743618744</v>
      </c>
      <c r="C208" s="597">
        <f>('Pivot Table for Data Exchange'!$H$405)*100</f>
        <v>6.3887940342499743</v>
      </c>
      <c r="D208" s="603">
        <f>SUM(E208:G208)</f>
        <v>5.8816942221312845</v>
      </c>
      <c r="E208" s="597">
        <f>('Pivot Table for Data Exchange'!$H$408)*100</f>
        <v>5.7934909287474996</v>
      </c>
      <c r="F208" s="104">
        <f>('Pivot Table for Data Exchange'!$H$411)*100</f>
        <v>4.1751402197340352E-2</v>
      </c>
      <c r="G208" s="105">
        <f>('Pivot Table for Data Exchange'!$H$414)*100</f>
        <v>4.6451891186444896E-2</v>
      </c>
      <c r="H208" s="597">
        <f>('Pivot Table for Data Exchange'!$H$417)*100</f>
        <v>0</v>
      </c>
      <c r="I208" s="125" t="s">
        <v>186</v>
      </c>
      <c r="J208" s="597">
        <f>('Pivot Table for Data Exchange'!$H$420)*100</f>
        <v>48.282920172845124</v>
      </c>
      <c r="K208" s="597">
        <f>('Pivot Table for Data Exchange'!$H$423)*100</f>
        <v>18.558107800773254</v>
      </c>
      <c r="L208" s="603">
        <f>SUM(M208:O208)</f>
        <v>33.158972026381626</v>
      </c>
      <c r="M208" s="597">
        <f>('Pivot Table for Data Exchange'!$H$426)*100</f>
        <v>31.726176938821926</v>
      </c>
      <c r="N208" s="597">
        <f>('Pivot Table for Data Exchange'!$H$429)*100</f>
        <v>0.20468501250852852</v>
      </c>
      <c r="O208" s="599">
        <f>('Pivot Table for Data Exchange'!$H$432)*100</f>
        <v>1.2281100750511713</v>
      </c>
      <c r="P208" s="597">
        <f>('Pivot Table for Data Exchange'!$H$435)*100</f>
        <v>0</v>
      </c>
      <c r="Q208" s="135">
        <f t="shared" si="52"/>
        <v>100</v>
      </c>
      <c r="R208" s="135">
        <f t="shared" si="53"/>
        <v>100</v>
      </c>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row>
    <row r="209" spans="1:41" ht="11.25" customHeight="1">
      <c r="A209" s="102"/>
      <c r="B209" s="597"/>
      <c r="C209" s="597"/>
      <c r="D209" s="603"/>
      <c r="E209" s="597"/>
      <c r="F209" s="597"/>
      <c r="G209" s="599"/>
      <c r="H209" s="597"/>
      <c r="I209" s="125"/>
      <c r="J209" s="597"/>
      <c r="K209" s="597"/>
      <c r="L209" s="603"/>
      <c r="M209" s="597"/>
      <c r="N209" s="597"/>
      <c r="O209" s="599"/>
      <c r="P209" s="597"/>
      <c r="Q209" s="135">
        <f t="shared" si="52"/>
        <v>0</v>
      </c>
      <c r="R209" s="135">
        <f t="shared" si="53"/>
        <v>0</v>
      </c>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row>
    <row r="210" spans="1:41" ht="15.75" customHeight="1">
      <c r="A210" s="102" t="s">
        <v>187</v>
      </c>
      <c r="B210" s="597">
        <f>('Pivot Table for Data Exchange'!$H$438)*100</f>
        <v>0</v>
      </c>
      <c r="C210" s="597">
        <f>('Pivot Table for Data Exchange'!$H$441)*100</f>
        <v>0</v>
      </c>
      <c r="D210" s="603">
        <f>SUM(E210:G210)</f>
        <v>0</v>
      </c>
      <c r="E210" s="597">
        <f>('Pivot Table for Data Exchange'!$H$444)*100</f>
        <v>0</v>
      </c>
      <c r="F210" s="597">
        <f>('Pivot Table for Data Exchange'!$H$447)*100</f>
        <v>0</v>
      </c>
      <c r="G210" s="599">
        <f>('Pivot Table for Data Exchange'!$H$450)*100</f>
        <v>0</v>
      </c>
      <c r="H210" s="597">
        <f>('Pivot Table for Data Exchange'!$H$453)*100</f>
        <v>0</v>
      </c>
      <c r="I210" s="125" t="s">
        <v>187</v>
      </c>
      <c r="J210" s="597">
        <f>('Pivot Table for Data Exchange'!$H$456)*100</f>
        <v>0</v>
      </c>
      <c r="K210" s="597">
        <f>('Pivot Table for Data Exchange'!$H$459)*100</f>
        <v>0</v>
      </c>
      <c r="L210" s="603">
        <f>SUM(M210:O210)</f>
        <v>0</v>
      </c>
      <c r="M210" s="597">
        <f>('Pivot Table for Data Exchange'!$H$462)*100</f>
        <v>0</v>
      </c>
      <c r="N210" s="597">
        <f>('Pivot Table for Data Exchange'!$H$465)*100</f>
        <v>0</v>
      </c>
      <c r="O210" s="599">
        <f>('Pivot Table for Data Exchange'!$H$468)*100</f>
        <v>0</v>
      </c>
      <c r="P210" s="597">
        <f>('Pivot Table for Data Exchange'!$H$471)*100</f>
        <v>0</v>
      </c>
      <c r="Q210" s="135">
        <f t="shared" si="52"/>
        <v>0</v>
      </c>
      <c r="R210" s="135">
        <f t="shared" si="53"/>
        <v>0</v>
      </c>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row>
    <row r="211" spans="1:41" ht="15.75" customHeight="1">
      <c r="A211" s="102" t="s">
        <v>188</v>
      </c>
      <c r="B211" s="597">
        <f>('Pivot Table for Data Exchange'!$H$474)*100</f>
        <v>99.987874133505798</v>
      </c>
      <c r="C211" s="597">
        <f>('Pivot Table for Data Exchange'!$H$477)*100</f>
        <v>0</v>
      </c>
      <c r="D211" s="635">
        <f>SUM(E211:G211)</f>
        <v>1.2125866494209899E-2</v>
      </c>
      <c r="E211" s="104">
        <f>('Pivot Table for Data Exchange'!$H$480)*100</f>
        <v>1.2125866494209899E-2</v>
      </c>
      <c r="F211" s="597">
        <f>('Pivot Table for Data Exchange'!$H$483)*100</f>
        <v>0</v>
      </c>
      <c r="G211" s="599">
        <f>('Pivot Table for Data Exchange'!$H$486)*100</f>
        <v>0</v>
      </c>
      <c r="H211" s="597">
        <f>('Pivot Table for Data Exchange'!$H$489)*100</f>
        <v>0</v>
      </c>
      <c r="I211" s="125" t="s">
        <v>188</v>
      </c>
      <c r="J211" s="597">
        <f>('Pivot Table for Data Exchange'!$H$492)*100</f>
        <v>92.46987951807229</v>
      </c>
      <c r="K211" s="597">
        <f>('Pivot Table for Data Exchange'!$H$495)*100</f>
        <v>1.2048192771084338</v>
      </c>
      <c r="L211" s="603">
        <f>SUM(M211:O211)</f>
        <v>6.3253012048192776</v>
      </c>
      <c r="M211" s="597">
        <f>('Pivot Table for Data Exchange'!$H$498)*100</f>
        <v>4.2168674698795181</v>
      </c>
      <c r="N211" s="597">
        <f>('Pivot Table for Data Exchange'!$H$501)*100</f>
        <v>0</v>
      </c>
      <c r="O211" s="599">
        <f>('Pivot Table for Data Exchange'!$H$504)*100</f>
        <v>2.1084337349397591</v>
      </c>
      <c r="P211" s="597">
        <f>('Pivot Table for Data Exchange'!$H$507)*100</f>
        <v>0</v>
      </c>
      <c r="Q211" s="135">
        <f t="shared" si="52"/>
        <v>100.00000000000001</v>
      </c>
      <c r="R211" s="135">
        <f t="shared" si="53"/>
        <v>100</v>
      </c>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row>
    <row r="212" spans="1:41" ht="15.75" customHeight="1">
      <c r="A212" s="102" t="s">
        <v>189</v>
      </c>
      <c r="B212" s="597">
        <f>('Pivot Table for Data Exchange'!$H$510)*100</f>
        <v>95.030607433769376</v>
      </c>
      <c r="C212" s="597">
        <f>('Pivot Table for Data Exchange'!$H$513)*100</f>
        <v>0.98440924595040857</v>
      </c>
      <c r="D212" s="603">
        <f t="shared" ref="D212" si="56">SUM(E212:G212)</f>
        <v>3.984983320280211</v>
      </c>
      <c r="E212" s="597">
        <f>('Pivot Table for Data Exchange'!$H$516)*100</f>
        <v>3.984983320280211</v>
      </c>
      <c r="F212" s="597">
        <f>('Pivot Table for Data Exchange'!$H$519)*100</f>
        <v>0</v>
      </c>
      <c r="G212" s="599">
        <f>('Pivot Table for Data Exchange'!$H$522)*100</f>
        <v>0</v>
      </c>
      <c r="H212" s="597">
        <f>('Pivot Table for Data Exchange'!$H$525)*100</f>
        <v>0</v>
      </c>
      <c r="I212" s="125" t="s">
        <v>189</v>
      </c>
      <c r="J212" s="597">
        <f>('Pivot Table for Data Exchange'!$H$528)*100</f>
        <v>0</v>
      </c>
      <c r="K212" s="597">
        <f>('Pivot Table for Data Exchange'!$H$531)*100</f>
        <v>0</v>
      </c>
      <c r="L212" s="603">
        <f t="shared" ref="L212" si="57">SUM(M212:O212)</f>
        <v>0</v>
      </c>
      <c r="M212" s="597">
        <f>('Pivot Table for Data Exchange'!$H$534)*100</f>
        <v>0</v>
      </c>
      <c r="N212" s="597">
        <f>('Pivot Table for Data Exchange'!$H$537)*100</f>
        <v>0</v>
      </c>
      <c r="O212" s="599">
        <f>('Pivot Table for Data Exchange'!$H$540)*100</f>
        <v>0</v>
      </c>
      <c r="P212" s="597">
        <f>('Pivot Table for Data Exchange'!$H$543)*100</f>
        <v>0</v>
      </c>
      <c r="Q212" s="135">
        <f t="shared" si="52"/>
        <v>99.999999999999986</v>
      </c>
      <c r="R212" s="135">
        <f t="shared" si="53"/>
        <v>0</v>
      </c>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row>
    <row r="213" spans="1:41" ht="15.75" customHeight="1">
      <c r="A213" s="76" t="s">
        <v>190</v>
      </c>
      <c r="B213" s="600">
        <f>('Pivot Table for Data Exchange'!$H$546)*100</f>
        <v>81.962447266606915</v>
      </c>
      <c r="C213" s="600">
        <f>('Pivot Table for Data Exchange'!$H$549)*100</f>
        <v>7.1039804148724555</v>
      </c>
      <c r="D213" s="604">
        <f>SUM(E213:G213)</f>
        <v>10.933572318520623</v>
      </c>
      <c r="E213" s="600">
        <f>('Pivot Table for Data Exchange'!$H$552)*100</f>
        <v>10.028634505672256</v>
      </c>
      <c r="F213" s="600">
        <f>('Pivot Table for Data Exchange'!$H$555)*100</f>
        <v>0.83444446873155698</v>
      </c>
      <c r="G213" s="601">
        <f>('Pivot Table for Data Exchange'!$H$558)*100</f>
        <v>7.0493344116811296E-2</v>
      </c>
      <c r="H213" s="600">
        <f>('Pivot Table for Data Exchange'!$H$561)*100</f>
        <v>0</v>
      </c>
      <c r="I213" s="619" t="s">
        <v>190</v>
      </c>
      <c r="J213" s="600">
        <f>('Pivot Table for Data Exchange'!$H$564)*100</f>
        <v>20.368432070337033</v>
      </c>
      <c r="K213" s="600">
        <f>('Pivot Table for Data Exchange'!$H$567)*100</f>
        <v>29.579233828762824</v>
      </c>
      <c r="L213" s="604">
        <f>SUM(M213:O213)</f>
        <v>50.05233410090014</v>
      </c>
      <c r="M213" s="600">
        <f>('Pivot Table for Data Exchange'!$H$570)*100</f>
        <v>50.05233410090014</v>
      </c>
      <c r="N213" s="600">
        <f>('Pivot Table for Data Exchange'!$H$573)*100</f>
        <v>0</v>
      </c>
      <c r="O213" s="601">
        <f>('Pivot Table for Data Exchange'!$H$576)*100</f>
        <v>0</v>
      </c>
      <c r="P213" s="600">
        <f>('Pivot Table for Data Exchange'!$H$579)*100</f>
        <v>0</v>
      </c>
      <c r="Q213" s="135">
        <f t="shared" si="52"/>
        <v>99.999999999999986</v>
      </c>
      <c r="R213" s="135">
        <f t="shared" si="53"/>
        <v>100</v>
      </c>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row>
    <row r="214" spans="1:41" s="45" customFormat="1" ht="18" customHeight="1">
      <c r="A214" s="43" t="s">
        <v>219</v>
      </c>
      <c r="B214" s="106"/>
      <c r="C214" s="106"/>
      <c r="D214" s="107"/>
      <c r="E214" s="106"/>
      <c r="F214" s="107"/>
      <c r="G214" s="107"/>
      <c r="H214" s="106"/>
      <c r="I214" s="43" t="s">
        <v>219</v>
      </c>
      <c r="J214" s="106"/>
      <c r="K214" s="106"/>
      <c r="L214" s="107"/>
      <c r="M214" s="106"/>
      <c r="N214" s="107"/>
      <c r="O214" s="107"/>
      <c r="P214" s="106"/>
      <c r="Q214" s="135">
        <f t="shared" si="52"/>
        <v>0</v>
      </c>
      <c r="R214" s="135">
        <f t="shared" si="53"/>
        <v>0</v>
      </c>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08"/>
    </row>
    <row r="215" spans="1:41" s="45" customFormat="1" ht="26.25" customHeight="1">
      <c r="A215" s="658" t="s">
        <v>220</v>
      </c>
      <c r="B215" s="663"/>
      <c r="C215" s="663"/>
      <c r="D215" s="663"/>
      <c r="E215" s="663"/>
      <c r="F215" s="663"/>
      <c r="G215" s="663"/>
      <c r="H215" s="663"/>
      <c r="I215" s="658" t="s">
        <v>220</v>
      </c>
      <c r="J215" s="663"/>
      <c r="K215" s="663"/>
      <c r="L215" s="663"/>
      <c r="M215" s="663"/>
      <c r="N215" s="663"/>
      <c r="O215" s="663"/>
      <c r="P215" s="663"/>
      <c r="Q215" s="135">
        <f t="shared" si="52"/>
        <v>0</v>
      </c>
      <c r="R215" s="135">
        <f t="shared" si="53"/>
        <v>0</v>
      </c>
    </row>
    <row r="216" spans="1:41" s="45" customFormat="1" ht="10.5" customHeight="1">
      <c r="A216" s="116"/>
      <c r="B216" s="150"/>
      <c r="C216" s="150"/>
      <c r="D216" s="117"/>
      <c r="E216" s="150"/>
      <c r="F216" s="150"/>
      <c r="G216" s="151"/>
      <c r="H216" s="151"/>
      <c r="I216" s="116"/>
      <c r="J216" s="150"/>
      <c r="K216" s="150"/>
      <c r="L216" s="117"/>
      <c r="M216" s="150"/>
      <c r="N216" s="150"/>
      <c r="O216" s="150"/>
      <c r="P216" s="151"/>
      <c r="Q216" s="135"/>
      <c r="R216" s="135"/>
    </row>
    <row r="217" spans="1:41" s="45" customFormat="1">
      <c r="H217" s="49" t="s">
        <v>900</v>
      </c>
      <c r="P217" s="49" t="s">
        <v>900</v>
      </c>
      <c r="Q217" s="135">
        <f t="shared" si="52"/>
        <v>0</v>
      </c>
      <c r="R217" s="135">
        <f t="shared" si="53"/>
        <v>0</v>
      </c>
    </row>
    <row r="218" spans="1:41" ht="18">
      <c r="A218" s="16" t="s">
        <v>272</v>
      </c>
      <c r="B218" s="71"/>
      <c r="C218" s="71"/>
      <c r="D218" s="71"/>
      <c r="E218" s="71"/>
      <c r="F218" s="71"/>
      <c r="G218" s="71"/>
      <c r="H218" s="72"/>
      <c r="I218" s="102"/>
      <c r="J218" s="102"/>
      <c r="K218" s="102"/>
      <c r="L218" s="102"/>
      <c r="M218" s="102"/>
      <c r="N218" s="102"/>
      <c r="O218" s="102"/>
      <c r="P218" s="102"/>
      <c r="Q218" s="135">
        <f t="shared" si="52"/>
        <v>0</v>
      </c>
    </row>
    <row r="219" spans="1:41">
      <c r="A219" s="22"/>
      <c r="B219" s="23"/>
      <c r="C219" s="23"/>
      <c r="D219" s="23"/>
      <c r="E219" s="23"/>
      <c r="F219" s="23"/>
      <c r="G219" s="23"/>
      <c r="H219" s="73"/>
      <c r="I219" s="102"/>
      <c r="J219" s="102"/>
      <c r="K219" s="102"/>
      <c r="L219" s="102"/>
      <c r="M219" s="102"/>
      <c r="N219" s="102"/>
      <c r="O219" s="102"/>
      <c r="P219" s="102"/>
      <c r="Q219" s="135">
        <f t="shared" si="52"/>
        <v>0</v>
      </c>
    </row>
    <row r="220" spans="1:41" ht="15.75">
      <c r="A220" s="74" t="s">
        <v>205</v>
      </c>
      <c r="B220" s="23"/>
      <c r="C220" s="23"/>
      <c r="D220" s="23"/>
      <c r="E220" s="23"/>
      <c r="F220" s="23"/>
      <c r="G220" s="23"/>
      <c r="H220" s="73"/>
      <c r="I220" s="118"/>
      <c r="J220" s="102"/>
      <c r="K220" s="102"/>
      <c r="L220" s="73"/>
      <c r="M220" s="102"/>
      <c r="N220" s="102"/>
      <c r="O220" s="102"/>
      <c r="P220" s="102"/>
      <c r="Q220" s="135">
        <f t="shared" si="52"/>
        <v>0</v>
      </c>
    </row>
    <row r="221" spans="1:41" ht="15.75">
      <c r="A221" s="74" t="s">
        <v>254</v>
      </c>
      <c r="B221" s="23"/>
      <c r="C221" s="23"/>
      <c r="D221" s="23"/>
      <c r="E221" s="23"/>
      <c r="F221" s="23"/>
      <c r="G221" s="23"/>
      <c r="H221" s="73"/>
      <c r="I221" s="118"/>
      <c r="J221" s="102"/>
      <c r="K221" s="102"/>
      <c r="L221" s="102"/>
      <c r="M221" s="102"/>
      <c r="N221" s="102"/>
      <c r="O221" s="102"/>
      <c r="P221" s="102"/>
      <c r="Q221" s="135">
        <f t="shared" si="52"/>
        <v>0</v>
      </c>
    </row>
    <row r="222" spans="1:41">
      <c r="A222" s="76"/>
      <c r="B222" s="77"/>
      <c r="C222" s="77"/>
      <c r="D222" s="77"/>
      <c r="E222" s="77"/>
      <c r="F222" s="77"/>
      <c r="G222" s="77"/>
      <c r="H222" s="77"/>
      <c r="I222" s="118"/>
      <c r="J222" s="102"/>
      <c r="K222" s="102"/>
      <c r="L222" s="102"/>
      <c r="M222" s="102"/>
      <c r="N222" s="102"/>
      <c r="O222" s="102"/>
      <c r="P222" s="102"/>
      <c r="Q222" s="135">
        <f t="shared" si="52"/>
        <v>0</v>
      </c>
    </row>
    <row r="223" spans="1:41">
      <c r="A223" s="80"/>
      <c r="B223" s="81" t="s">
        <v>207</v>
      </c>
      <c r="C223" s="81"/>
      <c r="D223" s="81"/>
      <c r="E223" s="81"/>
      <c r="F223" s="81"/>
      <c r="G223" s="81"/>
      <c r="H223" s="82"/>
      <c r="I223" s="118"/>
      <c r="J223" s="102"/>
      <c r="K223" s="102"/>
      <c r="L223" s="102"/>
      <c r="M223" s="102"/>
      <c r="N223" s="102"/>
      <c r="O223" s="102"/>
      <c r="P223" s="102"/>
      <c r="Q223" s="135">
        <f t="shared" si="52"/>
        <v>0</v>
      </c>
    </row>
    <row r="224" spans="1:41">
      <c r="A224" s="80"/>
      <c r="B224" s="81" t="s">
        <v>208</v>
      </c>
      <c r="C224" s="81"/>
      <c r="D224" s="653" t="s">
        <v>209</v>
      </c>
      <c r="E224" s="654"/>
      <c r="F224" s="654"/>
      <c r="G224" s="654"/>
      <c r="H224" s="86" t="s">
        <v>39</v>
      </c>
      <c r="I224" s="118"/>
      <c r="J224" s="102"/>
      <c r="K224" s="102"/>
      <c r="L224" s="102"/>
      <c r="M224" s="102"/>
      <c r="N224" s="102"/>
      <c r="O224" s="102"/>
      <c r="P224" s="102"/>
      <c r="Q224" s="135">
        <f t="shared" si="52"/>
        <v>0</v>
      </c>
    </row>
    <row r="225" spans="1:41" ht="36">
      <c r="A225" s="80"/>
      <c r="B225" s="87" t="s">
        <v>210</v>
      </c>
      <c r="C225" s="88" t="s">
        <v>211</v>
      </c>
      <c r="D225" s="89" t="s">
        <v>212</v>
      </c>
      <c r="E225" s="90" t="s">
        <v>7</v>
      </c>
      <c r="F225" s="87" t="s">
        <v>213</v>
      </c>
      <c r="G225" s="91" t="s">
        <v>214</v>
      </c>
      <c r="H225" s="92" t="s">
        <v>215</v>
      </c>
      <c r="I225" s="111"/>
      <c r="J225" s="85"/>
      <c r="K225" s="85"/>
      <c r="L225" s="85"/>
      <c r="M225" s="85"/>
      <c r="N225" s="85"/>
      <c r="O225" s="85"/>
      <c r="P225" s="102"/>
      <c r="Q225" s="135">
        <f t="shared" si="52"/>
        <v>0</v>
      </c>
    </row>
    <row r="226" spans="1:41" ht="15.75" customHeight="1">
      <c r="A226" s="99" t="s">
        <v>175</v>
      </c>
      <c r="B226" s="597">
        <f>('Pivot Table for Data Exchange'!$O$6)*100</f>
        <v>61.714697705298974</v>
      </c>
      <c r="C226" s="597">
        <f>('Pivot Table for Data Exchange'!$O$9)*100</f>
        <v>21.765642073668339</v>
      </c>
      <c r="D226" s="603">
        <f>SUM(E226:G226)</f>
        <v>16.519660221032684</v>
      </c>
      <c r="E226" s="597">
        <f>('Pivot Table for Data Exchange'!$O$12)*100</f>
        <v>14.507128580715658</v>
      </c>
      <c r="F226" s="597">
        <f>('Pivot Table for Data Exchange'!$O$15)*100</f>
        <v>0.37540458110295033</v>
      </c>
      <c r="G226" s="97">
        <f>('Pivot Table for Data Exchange'!$O$18)*100</f>
        <v>1.6371270592140754</v>
      </c>
      <c r="H226" s="597">
        <f>('Pivot Table for Data Exchange'!$O$21)*100</f>
        <v>0</v>
      </c>
      <c r="I226" s="101"/>
      <c r="J226" s="101"/>
      <c r="K226" s="101"/>
      <c r="L226" s="101"/>
      <c r="M226" s="101"/>
      <c r="N226" s="101"/>
      <c r="O226" s="101"/>
      <c r="P226" s="119"/>
      <c r="Q226" s="135">
        <f t="shared" si="52"/>
        <v>99.999999999999986</v>
      </c>
      <c r="R226" s="135"/>
      <c r="Z226" s="100"/>
      <c r="AA226" s="100"/>
      <c r="AB226" s="100"/>
      <c r="AC226" s="100"/>
      <c r="AD226" s="100"/>
      <c r="AE226" s="100"/>
      <c r="AF226" s="100"/>
      <c r="AG226" s="100"/>
      <c r="AH226" s="100"/>
      <c r="AI226" s="100"/>
      <c r="AJ226" s="100"/>
      <c r="AK226" s="100"/>
      <c r="AL226" s="100"/>
      <c r="AM226" s="100"/>
      <c r="AN226" s="100"/>
      <c r="AO226" s="100"/>
    </row>
    <row r="227" spans="1:41" ht="15.75" customHeight="1">
      <c r="A227" s="102" t="s">
        <v>176</v>
      </c>
      <c r="B227" s="597">
        <f>('Pivot Table for Data Exchange'!$O$42)*100</f>
        <v>71.181260848008549</v>
      </c>
      <c r="C227" s="597">
        <f>('Pivot Table for Data Exchange'!$O$45)*100</f>
        <v>8.4573272871425846</v>
      </c>
      <c r="D227" s="603">
        <f t="shared" ref="D227:D229" si="58">SUM(E227:G227)</f>
        <v>20.361411864848868</v>
      </c>
      <c r="E227" s="597">
        <f>('Pivot Table for Data Exchange'!$O$48)*100</f>
        <v>16.806627066432483</v>
      </c>
      <c r="F227" s="597">
        <f>('Pivot Table for Data Exchange'!$O$51)*100</f>
        <v>3.4635303714683241</v>
      </c>
      <c r="G227" s="599">
        <f>('Pivot Table for Data Exchange'!$O$54)*100</f>
        <v>9.1254426948060352E-2</v>
      </c>
      <c r="H227" s="597">
        <f>('Pivot Table for Data Exchange'!$O$57)*100</f>
        <v>0</v>
      </c>
      <c r="I227" s="101"/>
      <c r="J227" s="101"/>
      <c r="K227" s="101"/>
      <c r="L227" s="101"/>
      <c r="M227" s="101"/>
      <c r="N227" s="101"/>
      <c r="O227" s="101"/>
      <c r="P227" s="119"/>
      <c r="Q227" s="135">
        <f t="shared" si="52"/>
        <v>100</v>
      </c>
      <c r="R227" s="135"/>
      <c r="Z227" s="100"/>
      <c r="AA227" s="100"/>
      <c r="AB227" s="100"/>
      <c r="AC227" s="100"/>
      <c r="AD227" s="100"/>
      <c r="AE227" s="100"/>
      <c r="AF227" s="100"/>
      <c r="AG227" s="100"/>
      <c r="AH227" s="100"/>
      <c r="AI227" s="100"/>
      <c r="AJ227" s="100"/>
      <c r="AK227" s="100"/>
      <c r="AL227" s="100"/>
      <c r="AM227" s="100"/>
      <c r="AN227" s="100"/>
      <c r="AO227" s="100"/>
    </row>
    <row r="228" spans="1:41" ht="15.75" customHeight="1">
      <c r="A228" s="102" t="s">
        <v>177</v>
      </c>
      <c r="B228" s="597">
        <f>('Pivot Table for Data Exchange'!$O$78)*100</f>
        <v>86.192681783644204</v>
      </c>
      <c r="C228" s="597">
        <f>('Pivot Table for Data Exchange'!$O$81)*100</f>
        <v>0</v>
      </c>
      <c r="D228" s="603">
        <f t="shared" si="58"/>
        <v>13.807318216355798</v>
      </c>
      <c r="E228" s="597">
        <f>('Pivot Table for Data Exchange'!$O$84)*100</f>
        <v>10.218370359156795</v>
      </c>
      <c r="F228" s="597">
        <f>('Pivot Table for Data Exchange'!$O$87)*100</f>
        <v>0.1825332824840829</v>
      </c>
      <c r="G228" s="599">
        <f>('Pivot Table for Data Exchange'!$O$90)*100</f>
        <v>3.4064145747149195</v>
      </c>
      <c r="H228" s="597">
        <f>('Pivot Table for Data Exchange'!$O$93)*100</f>
        <v>0</v>
      </c>
      <c r="I228" s="101"/>
      <c r="J228" s="101"/>
      <c r="K228" s="101"/>
      <c r="L228" s="101"/>
      <c r="M228" s="101"/>
      <c r="N228" s="101"/>
      <c r="O228" s="101"/>
      <c r="P228" s="119"/>
      <c r="Q228" s="135">
        <f t="shared" si="52"/>
        <v>100</v>
      </c>
      <c r="R228" s="135"/>
      <c r="Z228" s="100"/>
      <c r="AA228" s="100"/>
      <c r="AB228" s="100"/>
      <c r="AC228" s="100"/>
      <c r="AD228" s="100"/>
      <c r="AE228" s="100"/>
      <c r="AF228" s="100"/>
      <c r="AG228" s="100"/>
      <c r="AH228" s="100"/>
      <c r="AI228" s="100"/>
      <c r="AJ228" s="100"/>
      <c r="AK228" s="100"/>
      <c r="AL228" s="100"/>
      <c r="AM228" s="100"/>
      <c r="AN228" s="100"/>
      <c r="AO228" s="100"/>
    </row>
    <row r="229" spans="1:41" ht="15.75" customHeight="1">
      <c r="A229" s="102" t="s">
        <v>217</v>
      </c>
      <c r="B229" s="597">
        <f>('Pivot Table for Data Exchange'!$O$114)*100</f>
        <v>75.067284142118055</v>
      </c>
      <c r="C229" s="597">
        <f>('Pivot Table for Data Exchange'!$O$117)*100</f>
        <v>2.3133413561634963</v>
      </c>
      <c r="D229" s="603">
        <f t="shared" si="58"/>
        <v>22.293967731079668</v>
      </c>
      <c r="E229" s="597">
        <f>('Pivot Table for Data Exchange'!$O$120)*100</f>
        <v>16.24456547413514</v>
      </c>
      <c r="F229" s="597">
        <f>('Pivot Table for Data Exchange'!$O$123)*100</f>
        <v>0.11407938510899734</v>
      </c>
      <c r="G229" s="599">
        <f>('Pivot Table for Data Exchange'!$O$126)*100</f>
        <v>5.9353228718355311</v>
      </c>
      <c r="H229" s="597">
        <f>('Pivot Table for Data Exchange'!$O$129)*100</f>
        <v>0.32540677063877932</v>
      </c>
      <c r="I229" s="101"/>
      <c r="J229" s="101"/>
      <c r="K229" s="101"/>
      <c r="L229" s="101"/>
      <c r="M229" s="101"/>
      <c r="N229" s="101"/>
      <c r="O229" s="101"/>
      <c r="P229" s="119"/>
      <c r="Q229" s="135">
        <f t="shared" si="52"/>
        <v>100</v>
      </c>
      <c r="R229" s="135"/>
      <c r="Z229" s="100"/>
      <c r="AA229" s="100"/>
      <c r="AB229" s="100"/>
      <c r="AC229" s="100"/>
      <c r="AD229" s="100"/>
      <c r="AE229" s="100"/>
      <c r="AF229" s="100"/>
      <c r="AG229" s="100"/>
      <c r="AH229" s="100"/>
      <c r="AI229" s="100"/>
      <c r="AJ229" s="100"/>
      <c r="AK229" s="100"/>
      <c r="AL229" s="100"/>
      <c r="AM229" s="100"/>
      <c r="AN229" s="100"/>
      <c r="AO229" s="100"/>
    </row>
    <row r="230" spans="1:41" ht="15.75" customHeight="1">
      <c r="A230" s="102"/>
      <c r="B230" s="597"/>
      <c r="C230" s="597"/>
      <c r="D230" s="603"/>
      <c r="E230" s="597"/>
      <c r="F230" s="597"/>
      <c r="G230" s="599"/>
      <c r="H230" s="597"/>
      <c r="I230" s="101"/>
      <c r="J230" s="101"/>
      <c r="K230" s="101"/>
      <c r="L230" s="101"/>
      <c r="M230" s="101"/>
      <c r="N230" s="101"/>
      <c r="O230" s="101"/>
      <c r="P230" s="119"/>
      <c r="Q230" s="135">
        <f t="shared" si="52"/>
        <v>0</v>
      </c>
      <c r="R230" s="135"/>
      <c r="Z230" s="100"/>
      <c r="AA230" s="100"/>
      <c r="AB230" s="100"/>
      <c r="AC230" s="100"/>
      <c r="AD230" s="100"/>
      <c r="AE230" s="100"/>
      <c r="AF230" s="100"/>
      <c r="AG230" s="100"/>
      <c r="AH230" s="100"/>
      <c r="AI230" s="100"/>
      <c r="AJ230" s="100"/>
      <c r="AK230" s="100"/>
      <c r="AL230" s="100"/>
      <c r="AM230" s="100"/>
      <c r="AN230" s="100"/>
      <c r="AO230" s="100"/>
    </row>
    <row r="231" spans="1:41" ht="15.75" customHeight="1">
      <c r="A231" s="102" t="s">
        <v>179</v>
      </c>
      <c r="B231" s="597">
        <f>('Pivot Table for Data Exchange'!$O$150)*100</f>
        <v>0</v>
      </c>
      <c r="C231" s="597">
        <f>('Pivot Table for Data Exchange'!$O$153)*100</f>
        <v>0</v>
      </c>
      <c r="D231" s="603">
        <f t="shared" ref="D231:D234" si="59">SUM(E231:G231)</f>
        <v>0</v>
      </c>
      <c r="E231" s="597">
        <f>('Pivot Table for Data Exchange'!$O$156)*100</f>
        <v>0</v>
      </c>
      <c r="F231" s="597">
        <f>('Pivot Table for Data Exchange'!$O$159)*100</f>
        <v>0</v>
      </c>
      <c r="G231" s="599">
        <f>('Pivot Table for Data Exchange'!$O$162)*100</f>
        <v>0</v>
      </c>
      <c r="H231" s="597">
        <f>('Pivot Table for Data Exchange'!$O$165)*100</f>
        <v>0</v>
      </c>
      <c r="I231" s="101"/>
      <c r="J231" s="101"/>
      <c r="K231" s="101"/>
      <c r="L231" s="101"/>
      <c r="M231" s="101"/>
      <c r="N231" s="101"/>
      <c r="O231" s="101"/>
      <c r="P231" s="119"/>
      <c r="Q231" s="135">
        <f t="shared" si="52"/>
        <v>0</v>
      </c>
      <c r="R231" s="135"/>
      <c r="Z231" s="100"/>
      <c r="AA231" s="100"/>
      <c r="AB231" s="100"/>
      <c r="AC231" s="100"/>
      <c r="AD231" s="100"/>
      <c r="AE231" s="100"/>
      <c r="AF231" s="100"/>
      <c r="AG231" s="100"/>
      <c r="AH231" s="100"/>
      <c r="AI231" s="100"/>
      <c r="AJ231" s="100"/>
      <c r="AK231" s="100"/>
      <c r="AL231" s="100"/>
      <c r="AM231" s="100"/>
      <c r="AN231" s="100"/>
      <c r="AO231" s="100"/>
    </row>
    <row r="232" spans="1:41" ht="15.75" customHeight="1">
      <c r="A232" s="102" t="s">
        <v>180</v>
      </c>
      <c r="B232" s="597">
        <f>('Pivot Table for Data Exchange'!$O$186)*100</f>
        <v>66.173089905517571</v>
      </c>
      <c r="C232" s="597">
        <f>('Pivot Table for Data Exchange'!$O$189)*100</f>
        <v>7.3481574885577228</v>
      </c>
      <c r="D232" s="603">
        <f t="shared" si="59"/>
        <v>26.478752605924708</v>
      </c>
      <c r="E232" s="597">
        <f>('Pivot Table for Data Exchange'!$O$192)*100</f>
        <v>25.505021516536658</v>
      </c>
      <c r="F232" s="597">
        <f>('Pivot Table for Data Exchange'!$O$195)*100</f>
        <v>0.97373108938804998</v>
      </c>
      <c r="G232" s="599">
        <f>('Pivot Table for Data Exchange'!$O$198)*100</f>
        <v>0</v>
      </c>
      <c r="H232" s="597">
        <f>('Pivot Table for Data Exchange'!$O$201)*100</f>
        <v>0</v>
      </c>
      <c r="I232" s="101"/>
      <c r="J232" s="101"/>
      <c r="K232" s="101"/>
      <c r="L232" s="101"/>
      <c r="M232" s="101"/>
      <c r="N232" s="101"/>
      <c r="O232" s="101"/>
      <c r="P232" s="119"/>
      <c r="Q232" s="135">
        <f t="shared" si="52"/>
        <v>100</v>
      </c>
      <c r="R232" s="135"/>
      <c r="Z232" s="100"/>
      <c r="AA232" s="100"/>
      <c r="AB232" s="100"/>
      <c r="AC232" s="100"/>
      <c r="AD232" s="100"/>
      <c r="AE232" s="100"/>
      <c r="AF232" s="100"/>
      <c r="AG232" s="100"/>
      <c r="AH232" s="100"/>
      <c r="AI232" s="100"/>
      <c r="AJ232" s="100"/>
      <c r="AK232" s="100"/>
      <c r="AL232" s="100"/>
      <c r="AM232" s="100"/>
      <c r="AN232" s="100"/>
      <c r="AO232" s="100"/>
    </row>
    <row r="233" spans="1:41" ht="15.75" customHeight="1">
      <c r="A233" s="102" t="s">
        <v>181</v>
      </c>
      <c r="B233" s="597">
        <f>('Pivot Table for Data Exchange'!$O$222)*100</f>
        <v>0</v>
      </c>
      <c r="C233" s="597">
        <f>('Pivot Table for Data Exchange'!$O$225)*100</f>
        <v>0</v>
      </c>
      <c r="D233" s="603">
        <f t="shared" si="59"/>
        <v>0</v>
      </c>
      <c r="E233" s="597">
        <f>('Pivot Table for Data Exchange'!$O$228)*100</f>
        <v>0</v>
      </c>
      <c r="F233" s="597">
        <f>('Pivot Table for Data Exchange'!$O$231)*100</f>
        <v>0</v>
      </c>
      <c r="G233" s="599">
        <f>('Pivot Table for Data Exchange'!$O$234)*100</f>
        <v>0</v>
      </c>
      <c r="H233" s="597">
        <f>('Pivot Table for Data Exchange'!$O$237)*100</f>
        <v>0</v>
      </c>
      <c r="I233" s="101"/>
      <c r="J233" s="101"/>
      <c r="K233" s="101"/>
      <c r="L233" s="101"/>
      <c r="M233" s="101"/>
      <c r="N233" s="101"/>
      <c r="O233" s="101"/>
      <c r="P233" s="119"/>
      <c r="Q233" s="135">
        <f t="shared" si="52"/>
        <v>0</v>
      </c>
      <c r="R233" s="135"/>
      <c r="Z233" s="100"/>
      <c r="AA233" s="100"/>
      <c r="AB233" s="100"/>
      <c r="AC233" s="100"/>
      <c r="AD233" s="100"/>
      <c r="AE233" s="100"/>
      <c r="AF233" s="100"/>
      <c r="AG233" s="100"/>
      <c r="AH233" s="100"/>
      <c r="AI233" s="100"/>
      <c r="AJ233" s="100"/>
      <c r="AK233" s="100"/>
      <c r="AL233" s="100"/>
      <c r="AM233" s="100"/>
      <c r="AN233" s="100"/>
      <c r="AO233" s="100"/>
    </row>
    <row r="234" spans="1:41" ht="15.75" customHeight="1">
      <c r="A234" s="102" t="s">
        <v>222</v>
      </c>
      <c r="B234" s="597">
        <f>('Pivot Table for Data Exchange'!$O$258)*100</f>
        <v>79.173057257440533</v>
      </c>
      <c r="C234" s="597">
        <f>('Pivot Table for Data Exchange'!$O$261)*100</f>
        <v>8.036597600435746</v>
      </c>
      <c r="D234" s="603">
        <f t="shared" si="59"/>
        <v>12.785771814067655</v>
      </c>
      <c r="E234" s="597">
        <f>('Pivot Table for Data Exchange'!$O$264)*100</f>
        <v>12.519366985676625</v>
      </c>
      <c r="F234" s="597">
        <f>('Pivot Table for Data Exchange'!$O$267)*100</f>
        <v>0.1939091095765845</v>
      </c>
      <c r="G234" s="599">
        <f>('Pivot Table for Data Exchange'!$O$270)*100</f>
        <v>7.249571881444633E-2</v>
      </c>
      <c r="H234" s="98">
        <f>('Pivot Table for Data Exchange'!$O$273)*100</f>
        <v>4.5733280560515217E-3</v>
      </c>
      <c r="I234" s="101"/>
      <c r="J234" s="101"/>
      <c r="K234" s="101"/>
      <c r="L234" s="101"/>
      <c r="M234" s="101"/>
      <c r="N234" s="101"/>
      <c r="O234" s="101"/>
      <c r="P234" s="119"/>
      <c r="Q234" s="135">
        <f t="shared" si="52"/>
        <v>99.999999999999986</v>
      </c>
      <c r="R234" s="135"/>
      <c r="Z234" s="100"/>
      <c r="AA234" s="100"/>
      <c r="AB234" s="100"/>
      <c r="AC234" s="100"/>
      <c r="AD234" s="100"/>
      <c r="AE234" s="100"/>
      <c r="AF234" s="100"/>
      <c r="AG234" s="100"/>
      <c r="AH234" s="100"/>
      <c r="AI234" s="100"/>
      <c r="AJ234" s="100"/>
      <c r="AK234" s="100"/>
      <c r="AL234" s="100"/>
      <c r="AM234" s="100"/>
      <c r="AN234" s="100"/>
      <c r="AO234" s="100"/>
    </row>
    <row r="235" spans="1:41" ht="15.75" customHeight="1">
      <c r="A235" s="102"/>
      <c r="B235" s="597"/>
      <c r="C235" s="597"/>
      <c r="D235" s="603"/>
      <c r="E235" s="597"/>
      <c r="F235" s="597"/>
      <c r="G235" s="599"/>
      <c r="H235" s="597"/>
      <c r="I235" s="101"/>
      <c r="J235" s="101"/>
      <c r="K235" s="101"/>
      <c r="L235" s="101"/>
      <c r="M235" s="101"/>
      <c r="N235" s="101"/>
      <c r="O235" s="101"/>
      <c r="P235" s="119"/>
      <c r="Q235" s="135">
        <f t="shared" si="52"/>
        <v>0</v>
      </c>
      <c r="R235" s="135"/>
      <c r="Z235" s="100"/>
      <c r="AA235" s="100"/>
      <c r="AB235" s="100"/>
      <c r="AC235" s="100"/>
      <c r="AD235" s="100"/>
      <c r="AE235" s="100"/>
      <c r="AF235" s="100"/>
      <c r="AG235" s="100"/>
      <c r="AH235" s="100"/>
      <c r="AI235" s="100"/>
      <c r="AJ235" s="100"/>
      <c r="AK235" s="100"/>
      <c r="AL235" s="100"/>
      <c r="AM235" s="100"/>
      <c r="AN235" s="100"/>
      <c r="AO235" s="100"/>
    </row>
    <row r="236" spans="1:41" ht="15.75" customHeight="1">
      <c r="A236" s="102" t="s">
        <v>224</v>
      </c>
      <c r="B236" s="597">
        <f>('Pivot Table for Data Exchange'!$O$294)*100</f>
        <v>81.98158044404866</v>
      </c>
      <c r="C236" s="597">
        <f>('Pivot Table for Data Exchange'!$O$297)*100</f>
        <v>0</v>
      </c>
      <c r="D236" s="603">
        <f t="shared" ref="D236:D238" si="60">SUM(E236:G236)</f>
        <v>18.01841955595134</v>
      </c>
      <c r="E236" s="597">
        <f>('Pivot Table for Data Exchange'!$O$300)*100</f>
        <v>18.01841955595134</v>
      </c>
      <c r="F236" s="597">
        <f>('Pivot Table for Data Exchange'!$O$303)*100</f>
        <v>0</v>
      </c>
      <c r="G236" s="599">
        <f>('Pivot Table for Data Exchange'!$O$306)*100</f>
        <v>0</v>
      </c>
      <c r="H236" s="597">
        <f>('Pivot Table for Data Exchange'!$O$309)*100</f>
        <v>0</v>
      </c>
      <c r="I236" s="101"/>
      <c r="J236" s="101"/>
      <c r="K236" s="101"/>
      <c r="L236" s="101"/>
      <c r="M236" s="101"/>
      <c r="N236" s="101"/>
      <c r="O236" s="101"/>
      <c r="P236" s="119"/>
      <c r="Q236" s="135">
        <f t="shared" si="52"/>
        <v>100</v>
      </c>
      <c r="R236" s="135"/>
      <c r="Z236" s="100"/>
      <c r="AA236" s="100"/>
      <c r="AB236" s="100"/>
      <c r="AC236" s="100"/>
      <c r="AD236" s="100"/>
      <c r="AE236" s="100"/>
      <c r="AF236" s="100"/>
      <c r="AG236" s="100"/>
      <c r="AH236" s="100"/>
      <c r="AI236" s="100"/>
      <c r="AJ236" s="100"/>
      <c r="AK236" s="100"/>
      <c r="AL236" s="100"/>
      <c r="AM236" s="100"/>
      <c r="AN236" s="100"/>
      <c r="AO236" s="100"/>
    </row>
    <row r="237" spans="1:41" ht="15.75" customHeight="1">
      <c r="A237" s="102" t="s">
        <v>184</v>
      </c>
      <c r="B237" s="597">
        <f>('Pivot Table for Data Exchange'!$O$330)*100</f>
        <v>73.273045001349317</v>
      </c>
      <c r="C237" s="597">
        <f>('Pivot Table for Data Exchange'!$O$333)*100</f>
        <v>4.0853546892245749</v>
      </c>
      <c r="D237" s="603">
        <f t="shared" si="60"/>
        <v>22.641600309426099</v>
      </c>
      <c r="E237" s="597">
        <f>('Pivot Table for Data Exchange'!$O$336)*100</f>
        <v>21.712163872297026</v>
      </c>
      <c r="F237" s="597">
        <f>('Pivot Table for Data Exchange'!$O$339)*100</f>
        <v>0.60023001065490533</v>
      </c>
      <c r="G237" s="599">
        <f>('Pivot Table for Data Exchange'!$O$342)*100</f>
        <v>0.32920642647416754</v>
      </c>
      <c r="H237" s="597">
        <f>('Pivot Table for Data Exchange'!$O$345)*100</f>
        <v>0</v>
      </c>
      <c r="I237" s="101"/>
      <c r="J237" s="101"/>
      <c r="K237" s="101"/>
      <c r="L237" s="101"/>
      <c r="M237" s="101"/>
      <c r="N237" s="101"/>
      <c r="O237" s="101"/>
      <c r="P237" s="119"/>
      <c r="Q237" s="135">
        <f t="shared" si="52"/>
        <v>99.999999999999986</v>
      </c>
      <c r="R237" s="135"/>
      <c r="Z237" s="100"/>
      <c r="AA237" s="100"/>
      <c r="AB237" s="100"/>
      <c r="AC237" s="100"/>
      <c r="AD237" s="100"/>
      <c r="AE237" s="100"/>
      <c r="AF237" s="100"/>
      <c r="AG237" s="100"/>
      <c r="AH237" s="100"/>
      <c r="AI237" s="100"/>
      <c r="AJ237" s="100"/>
      <c r="AK237" s="100"/>
      <c r="AL237" s="100"/>
      <c r="AM237" s="100"/>
      <c r="AN237" s="100"/>
      <c r="AO237" s="100"/>
    </row>
    <row r="238" spans="1:41" ht="15.75" customHeight="1">
      <c r="A238" s="102" t="s">
        <v>185</v>
      </c>
      <c r="B238" s="597">
        <f>('Pivot Table for Data Exchange'!$O$366)*100</f>
        <v>70.530546406698647</v>
      </c>
      <c r="C238" s="597">
        <f>('Pivot Table for Data Exchange'!$O$369)*100</f>
        <v>6.1195316058054559</v>
      </c>
      <c r="D238" s="603">
        <f t="shared" si="60"/>
        <v>22.386151460877741</v>
      </c>
      <c r="E238" s="597">
        <f>('Pivot Table for Data Exchange'!$O$372)*100</f>
        <v>17.92268230435802</v>
      </c>
      <c r="F238" s="597">
        <f>('Pivot Table for Data Exchange'!$O$375)*100</f>
        <v>2.539181181739059</v>
      </c>
      <c r="G238" s="599">
        <f>('Pivot Table for Data Exchange'!$O$378)*100</f>
        <v>1.9242879747806627</v>
      </c>
      <c r="H238" s="597">
        <f>('Pivot Table for Data Exchange'!$O$381)*100</f>
        <v>0.96377052661816098</v>
      </c>
      <c r="I238" s="101"/>
      <c r="J238" s="101"/>
      <c r="K238" s="101"/>
      <c r="L238" s="101"/>
      <c r="M238" s="101"/>
      <c r="N238" s="101"/>
      <c r="O238" s="101"/>
      <c r="P238" s="119"/>
      <c r="Q238" s="135">
        <f t="shared" si="52"/>
        <v>100.00000000000001</v>
      </c>
      <c r="R238" s="135"/>
      <c r="Z238" s="100"/>
      <c r="AA238" s="100"/>
      <c r="AB238" s="100"/>
      <c r="AC238" s="100"/>
      <c r="AD238" s="100"/>
      <c r="AE238" s="100"/>
      <c r="AF238" s="100"/>
      <c r="AG238" s="100"/>
      <c r="AH238" s="100"/>
      <c r="AI238" s="100"/>
      <c r="AJ238" s="100"/>
      <c r="AK238" s="100"/>
      <c r="AL238" s="100"/>
      <c r="AM238" s="100"/>
      <c r="AN238" s="100"/>
      <c r="AO238" s="100"/>
    </row>
    <row r="239" spans="1:41" ht="15.75" customHeight="1">
      <c r="A239" s="102" t="s">
        <v>186</v>
      </c>
      <c r="B239" s="597">
        <f>('Pivot Table for Data Exchange'!$O$402)*100</f>
        <v>74.289266235268883</v>
      </c>
      <c r="C239" s="597">
        <f>('Pivot Table for Data Exchange'!$O$405)*100</f>
        <v>5.4160353631325497</v>
      </c>
      <c r="D239" s="603">
        <f>SUM(E239:G239)</f>
        <v>20.29469840159857</v>
      </c>
      <c r="E239" s="597">
        <f>('Pivot Table for Data Exchange'!$O$408)*100</f>
        <v>18.627508111933704</v>
      </c>
      <c r="F239" s="597">
        <f>('Pivot Table for Data Exchange'!$O$411)*100</f>
        <v>1.6270740115771356</v>
      </c>
      <c r="G239" s="105">
        <f>('Pivot Table for Data Exchange'!$O$414)*100</f>
        <v>4.0116278087728809E-2</v>
      </c>
      <c r="H239" s="597">
        <f>('Pivot Table for Data Exchange'!$O$417)*100</f>
        <v>0</v>
      </c>
      <c r="I239" s="101"/>
      <c r="J239" s="101"/>
      <c r="K239" s="101"/>
      <c r="L239" s="101"/>
      <c r="M239" s="101"/>
      <c r="N239" s="101"/>
      <c r="O239" s="101"/>
      <c r="P239" s="119"/>
      <c r="Q239" s="135">
        <f t="shared" si="52"/>
        <v>100</v>
      </c>
      <c r="R239" s="135"/>
      <c r="Z239" s="100"/>
      <c r="AA239" s="100"/>
      <c r="AB239" s="100"/>
      <c r="AC239" s="100"/>
      <c r="AD239" s="100"/>
      <c r="AE239" s="100"/>
      <c r="AF239" s="100"/>
      <c r="AG239" s="100"/>
      <c r="AH239" s="100"/>
      <c r="AI239" s="100"/>
      <c r="AJ239" s="100"/>
      <c r="AK239" s="100"/>
      <c r="AL239" s="100"/>
      <c r="AM239" s="100"/>
      <c r="AN239" s="100"/>
      <c r="AO239" s="100"/>
    </row>
    <row r="240" spans="1:41" ht="10.5" customHeight="1">
      <c r="A240" s="102"/>
      <c r="B240" s="597"/>
      <c r="C240" s="597"/>
      <c r="D240" s="603"/>
      <c r="E240" s="597"/>
      <c r="F240" s="597"/>
      <c r="G240" s="599"/>
      <c r="H240" s="597"/>
      <c r="I240" s="101"/>
      <c r="J240" s="101"/>
      <c r="K240" s="101"/>
      <c r="L240" s="101"/>
      <c r="M240" s="101"/>
      <c r="N240" s="101"/>
      <c r="O240" s="101"/>
      <c r="P240" s="119"/>
      <c r="Q240" s="135">
        <f t="shared" si="52"/>
        <v>0</v>
      </c>
      <c r="R240" s="135"/>
      <c r="Z240" s="100"/>
      <c r="AA240" s="100"/>
      <c r="AB240" s="100"/>
      <c r="AC240" s="100"/>
      <c r="AD240" s="100"/>
      <c r="AE240" s="100"/>
      <c r="AF240" s="100"/>
      <c r="AG240" s="100"/>
      <c r="AH240" s="100"/>
      <c r="AI240" s="100"/>
      <c r="AJ240" s="100"/>
      <c r="AK240" s="100"/>
      <c r="AL240" s="100"/>
      <c r="AM240" s="100"/>
      <c r="AN240" s="100"/>
      <c r="AO240" s="100"/>
    </row>
    <row r="241" spans="1:41" ht="15.75" customHeight="1">
      <c r="A241" s="102" t="s">
        <v>187</v>
      </c>
      <c r="B241" s="597">
        <f>('Pivot Table for Data Exchange'!$O$438)*100</f>
        <v>53.490209029431057</v>
      </c>
      <c r="C241" s="597">
        <f>('Pivot Table for Data Exchange'!$O$441)*100</f>
        <v>23.292677953916968</v>
      </c>
      <c r="D241" s="603">
        <f>SUM(E241:G241)</f>
        <v>23.046802435194635</v>
      </c>
      <c r="E241" s="597">
        <f>('Pivot Table for Data Exchange'!$O$444)*100</f>
        <v>15.022571312207035</v>
      </c>
      <c r="F241" s="597">
        <f>('Pivot Table for Data Exchange'!$O$447)*100</f>
        <v>2.0137225120584223</v>
      </c>
      <c r="G241" s="599">
        <f>('Pivot Table for Data Exchange'!$O$450)*100</f>
        <v>6.0105086109291772</v>
      </c>
      <c r="H241" s="597">
        <f>('Pivot Table for Data Exchange'!$O$453)*100</f>
        <v>0.17031058145734107</v>
      </c>
      <c r="I241" s="101"/>
      <c r="J241" s="101"/>
      <c r="K241" s="101"/>
      <c r="L241" s="101"/>
      <c r="M241" s="101"/>
      <c r="N241" s="101"/>
      <c r="O241" s="101"/>
      <c r="P241" s="119"/>
      <c r="Q241" s="135">
        <f t="shared" si="52"/>
        <v>100</v>
      </c>
      <c r="R241" s="135"/>
      <c r="Z241" s="100"/>
      <c r="AA241" s="100"/>
      <c r="AB241" s="100"/>
      <c r="AC241" s="100"/>
      <c r="AD241" s="100"/>
      <c r="AE241" s="100"/>
      <c r="AF241" s="100"/>
      <c r="AG241" s="100"/>
      <c r="AH241" s="100"/>
      <c r="AI241" s="100"/>
      <c r="AJ241" s="100"/>
      <c r="AK241" s="100"/>
      <c r="AL241" s="100"/>
      <c r="AM241" s="100"/>
      <c r="AN241" s="100"/>
      <c r="AO241" s="100"/>
    </row>
    <row r="242" spans="1:41" ht="15.75" customHeight="1">
      <c r="A242" s="102" t="s">
        <v>188</v>
      </c>
      <c r="B242" s="597">
        <f>('Pivot Table for Data Exchange'!$O$474)*100</f>
        <v>71.572653990776928</v>
      </c>
      <c r="C242" s="597">
        <f>('Pivot Table for Data Exchange'!$O$477)*100</f>
        <v>10.791597070312209</v>
      </c>
      <c r="D242" s="603">
        <f>SUM(E242:G242)</f>
        <v>17.635748938910865</v>
      </c>
      <c r="E242" s="597">
        <f>('Pivot Table for Data Exchange'!$O$480)*100</f>
        <v>16.591705463940571</v>
      </c>
      <c r="F242" s="597">
        <f>('Pivot Table for Data Exchange'!$O$483)*100</f>
        <v>0.52069829542015933</v>
      </c>
      <c r="G242" s="599">
        <f>('Pivot Table for Data Exchange'!$O$486)*100</f>
        <v>0.5233451795501326</v>
      </c>
      <c r="H242" s="597">
        <f>('Pivot Table for Data Exchange'!$O$489)*100</f>
        <v>0</v>
      </c>
      <c r="I242" s="101"/>
      <c r="J242" s="101"/>
      <c r="K242" s="101"/>
      <c r="L242" s="101"/>
      <c r="M242" s="101"/>
      <c r="N242" s="101"/>
      <c r="O242" s="101"/>
      <c r="P242" s="119"/>
      <c r="Q242" s="135">
        <f t="shared" si="52"/>
        <v>100</v>
      </c>
      <c r="R242" s="135"/>
      <c r="Z242" s="100"/>
      <c r="AA242" s="100"/>
      <c r="AB242" s="100"/>
      <c r="AC242" s="100"/>
      <c r="AD242" s="100"/>
      <c r="AE242" s="100"/>
      <c r="AF242" s="100"/>
      <c r="AG242" s="100"/>
      <c r="AH242" s="100"/>
      <c r="AI242" s="100"/>
      <c r="AJ242" s="100"/>
      <c r="AK242" s="100"/>
      <c r="AL242" s="100"/>
      <c r="AM242" s="100"/>
      <c r="AN242" s="100"/>
      <c r="AO242" s="100"/>
    </row>
    <row r="243" spans="1:41" ht="15.75" customHeight="1">
      <c r="A243" s="102" t="s">
        <v>189</v>
      </c>
      <c r="B243" s="597">
        <f>('Pivot Table for Data Exchange'!$O$510)*100</f>
        <v>64.064556174318909</v>
      </c>
      <c r="C243" s="597">
        <f>('Pivot Table for Data Exchange'!$O$513)*100</f>
        <v>12.308535391906659</v>
      </c>
      <c r="D243" s="603">
        <f t="shared" ref="D243" si="61">SUM(E243:G243)</f>
        <v>23.626908433774432</v>
      </c>
      <c r="E243" s="597">
        <f>('Pivot Table for Data Exchange'!$O$516)*100</f>
        <v>21.677830313623666</v>
      </c>
      <c r="F243" s="597">
        <f>('Pivot Table for Data Exchange'!$O$519)*100</f>
        <v>1.9490781201507661</v>
      </c>
      <c r="G243" s="599">
        <f>('Pivot Table for Data Exchange'!$O$522)*100</f>
        <v>0</v>
      </c>
      <c r="H243" s="597">
        <f>('Pivot Table for Data Exchange'!$O$525)*100</f>
        <v>0</v>
      </c>
      <c r="I243" s="101"/>
      <c r="J243" s="101"/>
      <c r="K243" s="101"/>
      <c r="L243" s="101"/>
      <c r="M243" s="101"/>
      <c r="N243" s="101"/>
      <c r="O243" s="101"/>
      <c r="P243" s="119"/>
      <c r="Q243" s="135">
        <f t="shared" si="52"/>
        <v>100</v>
      </c>
      <c r="R243" s="135"/>
      <c r="Z243" s="100"/>
      <c r="AA243" s="100"/>
      <c r="AB243" s="100"/>
      <c r="AC243" s="100"/>
      <c r="AD243" s="100"/>
      <c r="AE243" s="100"/>
      <c r="AF243" s="100"/>
      <c r="AG243" s="100"/>
      <c r="AH243" s="100"/>
      <c r="AI243" s="100"/>
      <c r="AJ243" s="100"/>
      <c r="AK243" s="100"/>
      <c r="AL243" s="100"/>
      <c r="AM243" s="100"/>
      <c r="AN243" s="100"/>
      <c r="AO243" s="100"/>
    </row>
    <row r="244" spans="1:41" ht="15.75" customHeight="1">
      <c r="A244" s="76" t="s">
        <v>190</v>
      </c>
      <c r="B244" s="600">
        <f>('Pivot Table for Data Exchange'!$O$546)*100</f>
        <v>67.087774707198307</v>
      </c>
      <c r="C244" s="600">
        <f>('Pivot Table for Data Exchange'!$O$549)*100</f>
        <v>15.461535437848111</v>
      </c>
      <c r="D244" s="604">
        <f>SUM(E244:G244)</f>
        <v>17.393266031244714</v>
      </c>
      <c r="E244" s="600">
        <f>('Pivot Table for Data Exchange'!$O$552)*100</f>
        <v>15.455041076833417</v>
      </c>
      <c r="F244" s="600">
        <f>('Pivot Table for Data Exchange'!$O$555)*100</f>
        <v>1.7222019985541501</v>
      </c>
      <c r="G244" s="601">
        <f>('Pivot Table for Data Exchange'!$O$558)*100</f>
        <v>0.21602295585714457</v>
      </c>
      <c r="H244" s="600">
        <f>('Pivot Table for Data Exchange'!$O$561)*100</f>
        <v>5.7423823708861212E-2</v>
      </c>
      <c r="I244" s="101"/>
      <c r="J244" s="101"/>
      <c r="K244" s="101"/>
      <c r="L244" s="101"/>
      <c r="M244" s="101"/>
      <c r="N244" s="101"/>
      <c r="O244" s="101"/>
      <c r="P244" s="119"/>
      <c r="Q244" s="135">
        <f t="shared" si="52"/>
        <v>100</v>
      </c>
      <c r="R244" s="135"/>
      <c r="Z244" s="100"/>
      <c r="AA244" s="100"/>
      <c r="AB244" s="100"/>
      <c r="AC244" s="100"/>
      <c r="AD244" s="100"/>
      <c r="AE244" s="100"/>
      <c r="AF244" s="100"/>
      <c r="AG244" s="100"/>
      <c r="AH244" s="100"/>
      <c r="AI244" s="100"/>
      <c r="AJ244" s="100"/>
      <c r="AK244" s="100"/>
      <c r="AL244" s="100"/>
      <c r="AM244" s="100"/>
      <c r="AN244" s="100"/>
      <c r="AO244" s="100"/>
    </row>
    <row r="245" spans="1:41" s="45" customFormat="1" ht="18" customHeight="1">
      <c r="A245" s="43" t="s">
        <v>219</v>
      </c>
      <c r="B245" s="106"/>
      <c r="C245" s="106"/>
      <c r="D245" s="107"/>
      <c r="E245" s="106"/>
      <c r="F245" s="107"/>
      <c r="G245" s="107"/>
      <c r="H245" s="106"/>
      <c r="I245" s="43"/>
      <c r="J245" s="106"/>
      <c r="K245" s="106"/>
      <c r="L245" s="107"/>
      <c r="M245" s="106"/>
      <c r="N245" s="107"/>
      <c r="O245" s="107"/>
      <c r="P245" s="106"/>
      <c r="Q245" s="135">
        <f t="shared" si="52"/>
        <v>0</v>
      </c>
      <c r="R245" s="139"/>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row>
    <row r="246" spans="1:41" s="45" customFormat="1" ht="28.5" customHeight="1">
      <c r="A246" s="655" t="s">
        <v>225</v>
      </c>
      <c r="B246" s="662"/>
      <c r="C246" s="662"/>
      <c r="D246" s="662"/>
      <c r="E246" s="662"/>
      <c r="F246" s="662"/>
      <c r="G246" s="662"/>
      <c r="H246" s="662"/>
      <c r="I246" s="43"/>
      <c r="P246" s="115"/>
      <c r="Q246" s="135">
        <f t="shared" si="52"/>
        <v>0</v>
      </c>
      <c r="R246" s="144"/>
    </row>
    <row r="247" spans="1:41" ht="12" customHeight="1">
      <c r="A247" s="102"/>
      <c r="B247" s="121"/>
      <c r="C247" s="121"/>
      <c r="D247" s="122"/>
      <c r="E247" s="121"/>
      <c r="F247" s="122"/>
      <c r="G247" s="122"/>
      <c r="H247" s="121"/>
      <c r="I247" s="102"/>
      <c r="J247" s="121"/>
      <c r="K247" s="121"/>
      <c r="L247" s="122"/>
      <c r="M247" s="121"/>
      <c r="N247" s="122"/>
      <c r="O247" s="122"/>
      <c r="P247" s="121"/>
      <c r="Q247" s="135">
        <f t="shared" si="52"/>
        <v>0</v>
      </c>
      <c r="R247" s="135"/>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row>
    <row r="248" spans="1:41" s="45" customFormat="1">
      <c r="H248" s="49" t="s">
        <v>900</v>
      </c>
      <c r="I248" s="47"/>
      <c r="J248" s="47"/>
      <c r="K248" s="47"/>
      <c r="L248" s="47"/>
      <c r="M248" s="47"/>
      <c r="N248" s="47"/>
      <c r="O248" s="47"/>
      <c r="P248" s="47"/>
      <c r="Q248" s="135">
        <f t="shared" si="52"/>
        <v>0</v>
      </c>
      <c r="R248" s="143"/>
    </row>
    <row r="249" spans="1:41" ht="18">
      <c r="A249" s="16" t="s">
        <v>273</v>
      </c>
      <c r="B249" s="71"/>
      <c r="C249" s="71"/>
      <c r="D249" s="71"/>
      <c r="E249" s="71"/>
      <c r="F249" s="71"/>
      <c r="G249" s="71"/>
      <c r="H249" s="72"/>
      <c r="I249" s="118"/>
      <c r="J249" s="102"/>
      <c r="K249" s="102"/>
      <c r="L249" s="102"/>
      <c r="M249" s="102"/>
      <c r="N249" s="102"/>
      <c r="O249" s="102"/>
      <c r="P249" s="102"/>
      <c r="Q249" s="135">
        <f t="shared" si="52"/>
        <v>0</v>
      </c>
    </row>
    <row r="250" spans="1:41">
      <c r="A250" s="22"/>
      <c r="B250" s="23"/>
      <c r="C250" s="23"/>
      <c r="D250" s="23"/>
      <c r="E250" s="23"/>
      <c r="F250" s="23"/>
      <c r="G250" s="23"/>
      <c r="H250" s="73"/>
      <c r="I250" s="118"/>
      <c r="J250" s="102"/>
      <c r="K250" s="102"/>
      <c r="L250" s="102"/>
      <c r="M250" s="102"/>
      <c r="N250" s="102"/>
      <c r="O250" s="102"/>
      <c r="P250" s="102"/>
      <c r="Q250" s="135">
        <f t="shared" si="52"/>
        <v>0</v>
      </c>
    </row>
    <row r="251" spans="1:41" ht="15.75">
      <c r="A251" s="74" t="s">
        <v>205</v>
      </c>
      <c r="B251" s="23"/>
      <c r="C251" s="23"/>
      <c r="D251" s="23"/>
      <c r="E251" s="23"/>
      <c r="F251" s="23"/>
      <c r="G251" s="23"/>
      <c r="H251" s="73"/>
      <c r="I251" s="118"/>
      <c r="J251" s="102"/>
      <c r="K251" s="102"/>
      <c r="L251" s="102"/>
      <c r="M251" s="102"/>
      <c r="N251" s="102"/>
      <c r="O251" s="102"/>
      <c r="P251" s="102"/>
      <c r="Q251" s="135">
        <f t="shared" si="52"/>
        <v>0</v>
      </c>
    </row>
    <row r="252" spans="1:41" ht="15.75">
      <c r="A252" s="74" t="s">
        <v>253</v>
      </c>
      <c r="B252" s="23"/>
      <c r="C252" s="23"/>
      <c r="D252" s="23"/>
      <c r="E252" s="23"/>
      <c r="F252" s="23"/>
      <c r="G252" s="23"/>
      <c r="H252" s="73"/>
      <c r="I252" s="118"/>
      <c r="J252" s="102"/>
      <c r="K252" s="102"/>
      <c r="L252" s="102"/>
      <c r="M252" s="102"/>
      <c r="N252" s="102"/>
      <c r="O252" s="102"/>
      <c r="P252" s="102"/>
      <c r="Q252" s="135">
        <f t="shared" si="52"/>
        <v>0</v>
      </c>
    </row>
    <row r="253" spans="1:41">
      <c r="A253" s="76"/>
      <c r="B253" s="77"/>
      <c r="C253" s="77"/>
      <c r="D253" s="77"/>
      <c r="E253" s="77"/>
      <c r="F253" s="77"/>
      <c r="G253" s="77"/>
      <c r="H253" s="77"/>
      <c r="I253" s="118"/>
      <c r="J253" s="102"/>
      <c r="K253" s="102"/>
      <c r="L253" s="102"/>
      <c r="M253" s="102"/>
      <c r="N253" s="102"/>
      <c r="O253" s="102"/>
      <c r="P253" s="102"/>
      <c r="Q253" s="135">
        <f t="shared" si="52"/>
        <v>0</v>
      </c>
    </row>
    <row r="254" spans="1:41">
      <c r="A254" s="80"/>
      <c r="B254" s="81" t="s">
        <v>207</v>
      </c>
      <c r="C254" s="81"/>
      <c r="D254" s="81"/>
      <c r="E254" s="81"/>
      <c r="F254" s="81"/>
      <c r="G254" s="81"/>
      <c r="H254" s="82"/>
      <c r="I254" s="118"/>
      <c r="J254" s="102"/>
      <c r="K254" s="102"/>
      <c r="L254" s="102"/>
      <c r="M254" s="102"/>
      <c r="N254" s="102"/>
      <c r="O254" s="102"/>
      <c r="P254" s="102"/>
      <c r="Q254" s="135">
        <f t="shared" si="52"/>
        <v>0</v>
      </c>
    </row>
    <row r="255" spans="1:41">
      <c r="A255" s="80"/>
      <c r="B255" s="81" t="s">
        <v>208</v>
      </c>
      <c r="C255" s="81"/>
      <c r="D255" s="653" t="s">
        <v>209</v>
      </c>
      <c r="E255" s="654"/>
      <c r="F255" s="654"/>
      <c r="G255" s="654"/>
      <c r="H255" s="86" t="s">
        <v>39</v>
      </c>
      <c r="I255" s="118"/>
      <c r="J255" s="102"/>
      <c r="K255" s="102"/>
      <c r="L255" s="102"/>
      <c r="M255" s="102"/>
      <c r="N255" s="102"/>
      <c r="O255" s="102"/>
      <c r="P255" s="102"/>
      <c r="Q255" s="135">
        <f t="shared" si="52"/>
        <v>0</v>
      </c>
    </row>
    <row r="256" spans="1:41" ht="36">
      <c r="A256" s="80"/>
      <c r="B256" s="87" t="s">
        <v>210</v>
      </c>
      <c r="C256" s="88" t="s">
        <v>211</v>
      </c>
      <c r="D256" s="89" t="s">
        <v>212</v>
      </c>
      <c r="E256" s="90" t="s">
        <v>7</v>
      </c>
      <c r="F256" s="87" t="s">
        <v>213</v>
      </c>
      <c r="G256" s="91" t="s">
        <v>214</v>
      </c>
      <c r="H256" s="92" t="s">
        <v>215</v>
      </c>
      <c r="I256" s="118"/>
      <c r="J256" s="102"/>
      <c r="K256" s="102"/>
      <c r="L256" s="102"/>
      <c r="M256" s="102"/>
      <c r="N256" s="102"/>
      <c r="O256" s="102"/>
      <c r="P256" s="102"/>
      <c r="Q256" s="135">
        <f t="shared" si="52"/>
        <v>0</v>
      </c>
    </row>
    <row r="257" spans="1:41" ht="15.75" customHeight="1">
      <c r="A257" s="99" t="s">
        <v>175</v>
      </c>
      <c r="B257" s="597">
        <f>('Pivot Table for Data Exchange'!$K$6)*100</f>
        <v>0</v>
      </c>
      <c r="C257" s="597">
        <f>('Pivot Table for Data Exchange'!$K$9)*100</f>
        <v>0</v>
      </c>
      <c r="D257" s="603">
        <f>SUM(E257:G257)</f>
        <v>0</v>
      </c>
      <c r="E257" s="597">
        <f>('Pivot Table for Data Exchange'!$K$12)*100</f>
        <v>0</v>
      </c>
      <c r="F257" s="597">
        <f>('Pivot Table for Data Exchange'!$K$15)*100</f>
        <v>0</v>
      </c>
      <c r="G257" s="97">
        <f>('Pivot Table for Data Exchange'!$K$18)*100</f>
        <v>0</v>
      </c>
      <c r="H257" s="597">
        <f>('Pivot Table for Data Exchange'!$K$21)*100</f>
        <v>0</v>
      </c>
      <c r="I257" s="102"/>
      <c r="J257" s="119"/>
      <c r="K257" s="119"/>
      <c r="L257" s="119"/>
      <c r="M257" s="119"/>
      <c r="N257" s="119"/>
      <c r="O257" s="119"/>
      <c r="P257" s="119"/>
      <c r="Q257" s="135">
        <f t="shared" si="52"/>
        <v>0</v>
      </c>
      <c r="R257" s="135"/>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row>
    <row r="258" spans="1:41" ht="15.75" customHeight="1">
      <c r="A258" s="102" t="s">
        <v>176</v>
      </c>
      <c r="B258" s="597">
        <f>('Pivot Table for Data Exchange'!$K$42)*100</f>
        <v>0</v>
      </c>
      <c r="C258" s="597">
        <f>('Pivot Table for Data Exchange'!$K$45)*100</f>
        <v>0</v>
      </c>
      <c r="D258" s="603">
        <f t="shared" ref="D258:D260" si="62">SUM(E258:G258)</f>
        <v>0</v>
      </c>
      <c r="E258" s="597">
        <f>('Pivot Table for Data Exchange'!$K$48)*100</f>
        <v>0</v>
      </c>
      <c r="F258" s="597">
        <f>('Pivot Table for Data Exchange'!$K$51)*100</f>
        <v>0</v>
      </c>
      <c r="G258" s="599">
        <f>('Pivot Table for Data Exchange'!$K$54)*100</f>
        <v>0</v>
      </c>
      <c r="H258" s="597">
        <f>('Pivot Table for Data Exchange'!$K$57)*100</f>
        <v>0</v>
      </c>
      <c r="I258" s="102"/>
      <c r="J258" s="119"/>
      <c r="K258" s="119"/>
      <c r="L258" s="119"/>
      <c r="M258" s="119"/>
      <c r="N258" s="119"/>
      <c r="O258" s="119"/>
      <c r="P258" s="119"/>
      <c r="Q258" s="135">
        <f t="shared" si="52"/>
        <v>0</v>
      </c>
      <c r="R258" s="135"/>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row>
    <row r="259" spans="1:41" ht="15.75" customHeight="1">
      <c r="A259" s="102" t="s">
        <v>177</v>
      </c>
      <c r="B259" s="597">
        <f>('Pivot Table for Data Exchange'!$K$78)*100</f>
        <v>0</v>
      </c>
      <c r="C259" s="597">
        <f>('Pivot Table for Data Exchange'!$K$81)*100</f>
        <v>0</v>
      </c>
      <c r="D259" s="603">
        <f t="shared" si="62"/>
        <v>0</v>
      </c>
      <c r="E259" s="597">
        <f>('Pivot Table for Data Exchange'!$K$84)*100</f>
        <v>0</v>
      </c>
      <c r="F259" s="597">
        <f>('Pivot Table for Data Exchange'!$K$87)*100</f>
        <v>0</v>
      </c>
      <c r="G259" s="599">
        <f>('Pivot Table for Data Exchange'!$K$90)*100</f>
        <v>0</v>
      </c>
      <c r="H259" s="597">
        <f>('Pivot Table for Data Exchange'!$K$93)*100</f>
        <v>0</v>
      </c>
      <c r="I259" s="102"/>
      <c r="J259" s="119"/>
      <c r="K259" s="119"/>
      <c r="L259" s="119"/>
      <c r="M259" s="119"/>
      <c r="N259" s="119"/>
      <c r="O259" s="119"/>
      <c r="P259" s="119"/>
      <c r="Q259" s="135">
        <f t="shared" si="52"/>
        <v>0</v>
      </c>
      <c r="R259" s="135"/>
      <c r="S259" s="100"/>
      <c r="T259" s="112"/>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row>
    <row r="260" spans="1:41" ht="15.75" customHeight="1">
      <c r="A260" s="102" t="s">
        <v>217</v>
      </c>
      <c r="B260" s="597">
        <f>('Pivot Table for Data Exchange'!$K$114)*100</f>
        <v>74.685100007184673</v>
      </c>
      <c r="C260" s="597">
        <f>('Pivot Table for Data Exchange'!$K$117)*100</f>
        <v>1.7348107412146079</v>
      </c>
      <c r="D260" s="603">
        <f t="shared" si="62"/>
        <v>22.849751558144149</v>
      </c>
      <c r="E260" s="597">
        <f>('Pivot Table for Data Exchange'!$K$120)*100</f>
        <v>18.280162858715734</v>
      </c>
      <c r="F260" s="597">
        <f>('Pivot Table for Data Exchange'!$K$123)*100</f>
        <v>8.0292182657935321E-2</v>
      </c>
      <c r="G260" s="599">
        <f>('Pivot Table for Data Exchange'!$K$126)*100</f>
        <v>4.4892965167704793</v>
      </c>
      <c r="H260" s="597">
        <f>('Pivot Table for Data Exchange'!$K$129)*100</f>
        <v>0.73033769345657962</v>
      </c>
      <c r="I260" s="102"/>
      <c r="J260" s="119"/>
      <c r="K260" s="119"/>
      <c r="L260" s="119"/>
      <c r="M260" s="119"/>
      <c r="N260" s="119"/>
      <c r="O260" s="119"/>
      <c r="P260" s="119"/>
      <c r="Q260" s="135">
        <f t="shared" si="52"/>
        <v>100</v>
      </c>
      <c r="R260" s="135"/>
      <c r="S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row>
    <row r="261" spans="1:41" ht="15.75" customHeight="1">
      <c r="A261" s="102"/>
      <c r="B261" s="597"/>
      <c r="C261" s="597"/>
      <c r="D261" s="603"/>
      <c r="E261" s="597"/>
      <c r="F261" s="597"/>
      <c r="G261" s="599"/>
      <c r="H261" s="597"/>
      <c r="I261" s="102"/>
      <c r="J261" s="119"/>
      <c r="K261" s="119"/>
      <c r="L261" s="119"/>
      <c r="M261" s="119"/>
      <c r="N261" s="119"/>
      <c r="O261" s="119"/>
      <c r="P261" s="119"/>
      <c r="Q261" s="135">
        <f t="shared" si="52"/>
        <v>0</v>
      </c>
      <c r="R261" s="135"/>
      <c r="S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row>
    <row r="262" spans="1:41" ht="15.75" customHeight="1">
      <c r="A262" s="102" t="s">
        <v>179</v>
      </c>
      <c r="B262" s="597">
        <f>('Pivot Table for Data Exchange'!$K$150)*100</f>
        <v>0</v>
      </c>
      <c r="C262" s="597">
        <f>('Pivot Table for Data Exchange'!$K$153)*100</f>
        <v>0</v>
      </c>
      <c r="D262" s="603">
        <f t="shared" ref="D262:D265" si="63">SUM(E262:G262)</f>
        <v>0</v>
      </c>
      <c r="E262" s="597">
        <f>('Pivot Table for Data Exchange'!$K$156)*100</f>
        <v>0</v>
      </c>
      <c r="F262" s="597">
        <f>('Pivot Table for Data Exchange'!$K$159)*100</f>
        <v>0</v>
      </c>
      <c r="G262" s="599">
        <f>('Pivot Table for Data Exchange'!$K$162)*100</f>
        <v>0</v>
      </c>
      <c r="H262" s="597">
        <f>('Pivot Table for Data Exchange'!$K$165)*100</f>
        <v>0</v>
      </c>
      <c r="I262" s="102"/>
      <c r="J262" s="119"/>
      <c r="K262" s="119"/>
      <c r="L262" s="119"/>
      <c r="M262" s="119"/>
      <c r="N262" s="119"/>
      <c r="O262" s="119"/>
      <c r="P262" s="119"/>
      <c r="Q262" s="135">
        <f t="shared" si="52"/>
        <v>0</v>
      </c>
      <c r="R262" s="135"/>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row>
    <row r="263" spans="1:41" ht="15.75" customHeight="1">
      <c r="A263" s="102" t="s">
        <v>180</v>
      </c>
      <c r="B263" s="597">
        <f>('Pivot Table for Data Exchange'!$K$186)*100</f>
        <v>0</v>
      </c>
      <c r="C263" s="597">
        <f>('Pivot Table for Data Exchange'!$K$189)*100</f>
        <v>0</v>
      </c>
      <c r="D263" s="603">
        <f t="shared" si="63"/>
        <v>0</v>
      </c>
      <c r="E263" s="597">
        <f>('Pivot Table for Data Exchange'!$K$192)*100</f>
        <v>0</v>
      </c>
      <c r="F263" s="597">
        <f>('Pivot Table for Data Exchange'!$K$195)*100</f>
        <v>0</v>
      </c>
      <c r="G263" s="599">
        <f>('Pivot Table for Data Exchange'!$K$198)*100</f>
        <v>0</v>
      </c>
      <c r="H263" s="597">
        <f>('Pivot Table for Data Exchange'!$K$201)*100</f>
        <v>0</v>
      </c>
      <c r="I263" s="102"/>
      <c r="J263" s="119"/>
      <c r="K263" s="119"/>
      <c r="L263" s="119"/>
      <c r="M263" s="119"/>
      <c r="N263" s="119"/>
      <c r="O263" s="119"/>
      <c r="P263" s="119"/>
      <c r="Q263" s="135">
        <f t="shared" si="52"/>
        <v>0</v>
      </c>
      <c r="R263" s="135"/>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row>
    <row r="264" spans="1:41" ht="15.75" customHeight="1">
      <c r="A264" s="102" t="s">
        <v>181</v>
      </c>
      <c r="B264" s="597">
        <f>('Pivot Table for Data Exchange'!$K$222)*100</f>
        <v>0</v>
      </c>
      <c r="C264" s="597">
        <f>('Pivot Table for Data Exchange'!$K$225)*100</f>
        <v>0</v>
      </c>
      <c r="D264" s="603">
        <f t="shared" si="63"/>
        <v>0</v>
      </c>
      <c r="E264" s="597">
        <f>('Pivot Table for Data Exchange'!$K$228)*100</f>
        <v>0</v>
      </c>
      <c r="F264" s="597">
        <f>('Pivot Table for Data Exchange'!$K$231)*100</f>
        <v>0</v>
      </c>
      <c r="G264" s="599">
        <f>('Pivot Table for Data Exchange'!$K$234)*100</f>
        <v>0</v>
      </c>
      <c r="H264" s="597">
        <f>('Pivot Table for Data Exchange'!$K$237)*100</f>
        <v>0</v>
      </c>
      <c r="I264" s="102"/>
      <c r="J264" s="119"/>
      <c r="K264" s="119"/>
      <c r="L264" s="119"/>
      <c r="M264" s="119"/>
      <c r="N264" s="119"/>
      <c r="O264" s="119"/>
      <c r="P264" s="119"/>
      <c r="Q264" s="135">
        <f t="shared" si="52"/>
        <v>0</v>
      </c>
      <c r="R264" s="135"/>
      <c r="S264" s="100"/>
      <c r="T264" s="112"/>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row>
    <row r="265" spans="1:41" ht="15.75" customHeight="1">
      <c r="A265" s="102" t="s">
        <v>222</v>
      </c>
      <c r="B265" s="597">
        <f>('Pivot Table for Data Exchange'!$K$258)*100</f>
        <v>0</v>
      </c>
      <c r="C265" s="597">
        <f>('Pivot Table for Data Exchange'!$K$261)*100</f>
        <v>0</v>
      </c>
      <c r="D265" s="603">
        <f t="shared" si="63"/>
        <v>0</v>
      </c>
      <c r="E265" s="597">
        <f>('Pivot Table for Data Exchange'!$K$264)*100</f>
        <v>0</v>
      </c>
      <c r="F265" s="597">
        <f>('Pivot Table for Data Exchange'!$K$267)*100</f>
        <v>0</v>
      </c>
      <c r="G265" s="599">
        <f>('Pivot Table for Data Exchange'!$K$270)*100</f>
        <v>0</v>
      </c>
      <c r="H265" s="597">
        <f>('Pivot Table for Data Exchange'!$K$273)*100</f>
        <v>0</v>
      </c>
      <c r="I265" s="102"/>
      <c r="J265" s="119"/>
      <c r="K265" s="119"/>
      <c r="L265" s="119"/>
      <c r="M265" s="119"/>
      <c r="N265" s="119"/>
      <c r="O265" s="119"/>
      <c r="P265" s="119"/>
      <c r="Q265" s="135">
        <f t="shared" si="52"/>
        <v>0</v>
      </c>
      <c r="R265" s="135"/>
      <c r="S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row>
    <row r="266" spans="1:41" ht="15.75" customHeight="1">
      <c r="A266" s="102"/>
      <c r="B266" s="597"/>
      <c r="C266" s="597"/>
      <c r="D266" s="603"/>
      <c r="E266" s="597"/>
      <c r="F266" s="597"/>
      <c r="G266" s="599"/>
      <c r="H266" s="597"/>
      <c r="I266" s="102"/>
      <c r="J266" s="119"/>
      <c r="K266" s="119"/>
      <c r="L266" s="119"/>
      <c r="M266" s="119"/>
      <c r="N266" s="119"/>
      <c r="O266" s="119"/>
      <c r="P266" s="119"/>
      <c r="Q266" s="135">
        <f t="shared" si="52"/>
        <v>0</v>
      </c>
      <c r="R266" s="135"/>
      <c r="S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row>
    <row r="267" spans="1:41" ht="15.75" customHeight="1">
      <c r="A267" s="102" t="s">
        <v>224</v>
      </c>
      <c r="B267" s="597">
        <f>('Pivot Table for Data Exchange'!$K$294)*100</f>
        <v>0</v>
      </c>
      <c r="C267" s="597">
        <f>('Pivot Table for Data Exchange'!$K$297)*100</f>
        <v>0</v>
      </c>
      <c r="D267" s="603">
        <f t="shared" ref="D267:D269" si="64">SUM(E267:G267)</f>
        <v>0</v>
      </c>
      <c r="E267" s="597">
        <f>('Pivot Table for Data Exchange'!$K$300)*100</f>
        <v>0</v>
      </c>
      <c r="F267" s="597">
        <f>('Pivot Table for Data Exchange'!$K$303)*100</f>
        <v>0</v>
      </c>
      <c r="G267" s="599">
        <f>('Pivot Table for Data Exchange'!$K$306)*100</f>
        <v>0</v>
      </c>
      <c r="H267" s="597">
        <f>('Pivot Table for Data Exchange'!$K$309)*100</f>
        <v>0</v>
      </c>
      <c r="I267" s="102"/>
      <c r="J267" s="119"/>
      <c r="K267" s="119"/>
      <c r="L267" s="119"/>
      <c r="M267" s="119"/>
      <c r="N267" s="119"/>
      <c r="O267" s="119"/>
      <c r="P267" s="119"/>
      <c r="Q267" s="135">
        <f t="shared" ref="Q267:Q330" si="65">SUM(B267,C267,D267,H267)</f>
        <v>0</v>
      </c>
      <c r="R267" s="135"/>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row>
    <row r="268" spans="1:41" ht="15.75" customHeight="1">
      <c r="A268" s="102" t="s">
        <v>184</v>
      </c>
      <c r="B268" s="597">
        <f>('Pivot Table for Data Exchange'!$K$330)*100</f>
        <v>0</v>
      </c>
      <c r="C268" s="597">
        <f>('Pivot Table for Data Exchange'!$K$333)*100</f>
        <v>0</v>
      </c>
      <c r="D268" s="603">
        <f t="shared" si="64"/>
        <v>0</v>
      </c>
      <c r="E268" s="597">
        <f>('Pivot Table for Data Exchange'!$K$336)*100</f>
        <v>0</v>
      </c>
      <c r="F268" s="597">
        <f>('Pivot Table for Data Exchange'!$K$339)*100</f>
        <v>0</v>
      </c>
      <c r="G268" s="599">
        <f>('Pivot Table for Data Exchange'!$K$342)*100</f>
        <v>0</v>
      </c>
      <c r="H268" s="597">
        <f>('Pivot Table for Data Exchange'!$K$345)*100</f>
        <v>0</v>
      </c>
      <c r="I268" s="102"/>
      <c r="J268" s="119"/>
      <c r="K268" s="119"/>
      <c r="L268" s="119"/>
      <c r="M268" s="119"/>
      <c r="N268" s="119"/>
      <c r="O268" s="119"/>
      <c r="P268" s="119"/>
      <c r="Q268" s="135">
        <f t="shared" si="65"/>
        <v>0</v>
      </c>
      <c r="R268" s="135"/>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row>
    <row r="269" spans="1:41" ht="15.75" customHeight="1">
      <c r="A269" s="102" t="s">
        <v>185</v>
      </c>
      <c r="B269" s="597">
        <f>('Pivot Table for Data Exchange'!$K$366)*100</f>
        <v>72.821448909066802</v>
      </c>
      <c r="C269" s="597">
        <f>('Pivot Table for Data Exchange'!$K$369)*100</f>
        <v>5.5841582613715257</v>
      </c>
      <c r="D269" s="603">
        <f t="shared" si="64"/>
        <v>21.594392829561677</v>
      </c>
      <c r="E269" s="597">
        <f>('Pivot Table for Data Exchange'!$K$372)*100</f>
        <v>19.171483622350674</v>
      </c>
      <c r="F269" s="597">
        <f>('Pivot Table for Data Exchange'!$K$375)*100</f>
        <v>1.2699601382290764</v>
      </c>
      <c r="G269" s="599">
        <f>('Pivot Table for Data Exchange'!$K$378)*100</f>
        <v>1.1529490689819257</v>
      </c>
      <c r="H269" s="597">
        <f>('Pivot Table for Data Exchange'!$K$381)*100</f>
        <v>0</v>
      </c>
      <c r="I269" s="102"/>
      <c r="J269" s="119"/>
      <c r="K269" s="119"/>
      <c r="L269" s="119"/>
      <c r="M269" s="119"/>
      <c r="N269" s="119"/>
      <c r="O269" s="119"/>
      <c r="P269" s="119"/>
      <c r="Q269" s="135">
        <f t="shared" si="65"/>
        <v>100</v>
      </c>
      <c r="R269" s="135"/>
      <c r="S269" s="100"/>
      <c r="T269" s="112"/>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row>
    <row r="270" spans="1:41" ht="15.75" customHeight="1">
      <c r="A270" s="102" t="s">
        <v>186</v>
      </c>
      <c r="B270" s="597">
        <f>('Pivot Table for Data Exchange'!$K$402)*100</f>
        <v>0</v>
      </c>
      <c r="C270" s="597">
        <f>('Pivot Table for Data Exchange'!$K$405)*100</f>
        <v>0</v>
      </c>
      <c r="D270" s="603">
        <f>SUM(E270:G270)</f>
        <v>0</v>
      </c>
      <c r="E270" s="597">
        <f>('Pivot Table for Data Exchange'!$K$408)*100</f>
        <v>0</v>
      </c>
      <c r="F270" s="597">
        <f>('Pivot Table for Data Exchange'!$K$411)*100</f>
        <v>0</v>
      </c>
      <c r="G270" s="599">
        <f>('Pivot Table for Data Exchange'!$K$414)*100</f>
        <v>0</v>
      </c>
      <c r="H270" s="597">
        <f>('Pivot Table for Data Exchange'!$K$417)*100</f>
        <v>0</v>
      </c>
      <c r="I270" s="102"/>
      <c r="J270" s="119"/>
      <c r="K270" s="119"/>
      <c r="L270" s="119"/>
      <c r="M270" s="119"/>
      <c r="N270" s="119"/>
      <c r="O270" s="119"/>
      <c r="P270" s="119"/>
      <c r="Q270" s="135">
        <f t="shared" si="65"/>
        <v>0</v>
      </c>
      <c r="R270" s="135"/>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row>
    <row r="271" spans="1:41" ht="15.75" customHeight="1">
      <c r="A271" s="102"/>
      <c r="B271" s="597"/>
      <c r="C271" s="597"/>
      <c r="D271" s="603"/>
      <c r="E271" s="597"/>
      <c r="F271" s="597"/>
      <c r="G271" s="599"/>
      <c r="H271" s="597"/>
      <c r="I271" s="102"/>
      <c r="J271" s="119"/>
      <c r="K271" s="119"/>
      <c r="L271" s="119"/>
      <c r="M271" s="119"/>
      <c r="N271" s="119"/>
      <c r="O271" s="119"/>
      <c r="P271" s="119"/>
      <c r="Q271" s="135">
        <f t="shared" si="65"/>
        <v>0</v>
      </c>
      <c r="R271" s="135"/>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row>
    <row r="272" spans="1:41" ht="15.75" customHeight="1">
      <c r="A272" s="102" t="s">
        <v>187</v>
      </c>
      <c r="B272" s="597">
        <f>('Pivot Table for Data Exchange'!$K$438)*100</f>
        <v>0</v>
      </c>
      <c r="C272" s="597">
        <f>('Pivot Table for Data Exchange'!$K$441)*100</f>
        <v>0</v>
      </c>
      <c r="D272" s="603">
        <f>SUM(E272:G272)</f>
        <v>0</v>
      </c>
      <c r="E272" s="597">
        <f>('Pivot Table for Data Exchange'!$K$444)*100</f>
        <v>0</v>
      </c>
      <c r="F272" s="597">
        <f>('Pivot Table for Data Exchange'!$K$447)*100</f>
        <v>0</v>
      </c>
      <c r="G272" s="599">
        <f>('Pivot Table for Data Exchange'!$K$450)*100</f>
        <v>0</v>
      </c>
      <c r="H272" s="597">
        <f>('Pivot Table for Data Exchange'!$K$453)*100</f>
        <v>0</v>
      </c>
      <c r="I272" s="102"/>
      <c r="J272" s="119"/>
      <c r="K272" s="119"/>
      <c r="L272" s="119"/>
      <c r="M272" s="119"/>
      <c r="N272" s="119"/>
      <c r="O272" s="119"/>
      <c r="P272" s="119"/>
      <c r="Q272" s="135">
        <f t="shared" si="65"/>
        <v>0</v>
      </c>
      <c r="R272" s="135"/>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row>
    <row r="273" spans="1:41" ht="15.75" customHeight="1">
      <c r="A273" s="102" t="s">
        <v>188</v>
      </c>
      <c r="B273" s="597">
        <f>('Pivot Table for Data Exchange'!$K$474)*100</f>
        <v>81.759536750139688</v>
      </c>
      <c r="C273" s="597">
        <f>('Pivot Table for Data Exchange'!$K$477)*100</f>
        <v>1.0185722344159784</v>
      </c>
      <c r="D273" s="603">
        <f>SUM(E273:G273)</f>
        <v>17.221891015444335</v>
      </c>
      <c r="E273" s="597">
        <f>('Pivot Table for Data Exchange'!$K$480)*100</f>
        <v>17.023657075334246</v>
      </c>
      <c r="F273" s="597">
        <f>('Pivot Table for Data Exchange'!$K$483)*100</f>
        <v>0.17297014059504937</v>
      </c>
      <c r="G273" s="105">
        <f>('Pivot Table for Data Exchange'!$K$486)*100</f>
        <v>2.5263799515041985E-2</v>
      </c>
      <c r="H273" s="597">
        <f>('Pivot Table for Data Exchange'!$K$489)*100</f>
        <v>0</v>
      </c>
      <c r="I273" s="102"/>
      <c r="J273" s="119"/>
      <c r="K273" s="119"/>
      <c r="L273" s="119"/>
      <c r="M273" s="119"/>
      <c r="N273" s="119"/>
      <c r="O273" s="119"/>
      <c r="P273" s="119"/>
      <c r="Q273" s="135">
        <f t="shared" si="65"/>
        <v>100</v>
      </c>
      <c r="R273" s="135"/>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row>
    <row r="274" spans="1:41" ht="15.75" customHeight="1">
      <c r="A274" s="102" t="s">
        <v>189</v>
      </c>
      <c r="B274" s="597">
        <f>('Pivot Table for Data Exchange'!$K$510)*100</f>
        <v>0</v>
      </c>
      <c r="C274" s="597">
        <f>('Pivot Table for Data Exchange'!$K$513)*100</f>
        <v>0</v>
      </c>
      <c r="D274" s="603">
        <f t="shared" ref="D274" si="66">SUM(E274:G274)</f>
        <v>0</v>
      </c>
      <c r="E274" s="597">
        <f>('Pivot Table for Data Exchange'!$K$516)*100</f>
        <v>0</v>
      </c>
      <c r="F274" s="597">
        <f>('Pivot Table for Data Exchange'!$K$519)*100</f>
        <v>0</v>
      </c>
      <c r="G274" s="599">
        <f>('Pivot Table for Data Exchange'!$K$522)*100</f>
        <v>0</v>
      </c>
      <c r="H274" s="597">
        <f>('Pivot Table for Data Exchange'!$K$525)*100</f>
        <v>0</v>
      </c>
      <c r="I274" s="102"/>
      <c r="J274" s="119"/>
      <c r="K274" s="119"/>
      <c r="L274" s="119"/>
      <c r="M274" s="119"/>
      <c r="N274" s="119"/>
      <c r="O274" s="119"/>
      <c r="P274" s="119"/>
      <c r="Q274" s="135">
        <f t="shared" si="65"/>
        <v>0</v>
      </c>
      <c r="R274" s="135"/>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row>
    <row r="275" spans="1:41" ht="15.75" customHeight="1">
      <c r="A275" s="76" t="s">
        <v>190</v>
      </c>
      <c r="B275" s="600">
        <f>('Pivot Table for Data Exchange'!$K$546)*100</f>
        <v>68.618274796216056</v>
      </c>
      <c r="C275" s="600">
        <f>('Pivot Table for Data Exchange'!$K$549)*100</f>
        <v>13.24378634230361</v>
      </c>
      <c r="D275" s="604">
        <f>SUM(E275:G275)</f>
        <v>18.137938861480329</v>
      </c>
      <c r="E275" s="600">
        <f>('Pivot Table for Data Exchange'!$K$552)*100</f>
        <v>17.31812992769926</v>
      </c>
      <c r="F275" s="600">
        <f>('Pivot Table for Data Exchange'!$K$555)*100</f>
        <v>0</v>
      </c>
      <c r="G275" s="601">
        <f>('Pivot Table for Data Exchange'!$K$558)*100</f>
        <v>0.81980893378106823</v>
      </c>
      <c r="H275" s="600">
        <f>('Pivot Table for Data Exchange'!$K$561)*100</f>
        <v>0</v>
      </c>
      <c r="I275" s="102"/>
      <c r="J275" s="119"/>
      <c r="K275" s="119"/>
      <c r="L275" s="119"/>
      <c r="M275" s="119"/>
      <c r="N275" s="119"/>
      <c r="O275" s="119"/>
      <c r="P275" s="119"/>
      <c r="Q275" s="135">
        <f t="shared" si="65"/>
        <v>100</v>
      </c>
      <c r="R275" s="135"/>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row>
    <row r="276" spans="1:41" s="45" customFormat="1" ht="18" customHeight="1">
      <c r="A276" s="43" t="s">
        <v>219</v>
      </c>
      <c r="B276" s="106"/>
      <c r="C276" s="106"/>
      <c r="D276" s="107"/>
      <c r="E276" s="106"/>
      <c r="F276" s="107"/>
      <c r="G276" s="107"/>
      <c r="H276" s="106"/>
      <c r="I276" s="43"/>
      <c r="J276" s="106"/>
      <c r="K276" s="106"/>
      <c r="L276" s="107"/>
      <c r="M276" s="106"/>
      <c r="N276" s="107"/>
      <c r="O276" s="107"/>
      <c r="P276" s="106"/>
      <c r="Q276" s="135">
        <f t="shared" si="65"/>
        <v>0</v>
      </c>
      <c r="R276" s="139"/>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row>
    <row r="277" spans="1:41" s="45" customFormat="1" ht="27" customHeight="1">
      <c r="A277" s="655" t="s">
        <v>225</v>
      </c>
      <c r="B277" s="662"/>
      <c r="C277" s="662"/>
      <c r="D277" s="662"/>
      <c r="E277" s="662"/>
      <c r="F277" s="662"/>
      <c r="G277" s="662"/>
      <c r="H277" s="662"/>
      <c r="I277" s="43"/>
      <c r="P277" s="115"/>
      <c r="Q277" s="135">
        <f t="shared" si="65"/>
        <v>0</v>
      </c>
      <c r="R277" s="144"/>
    </row>
    <row r="278" spans="1:41" s="45" customFormat="1" ht="13.5" customHeight="1">
      <c r="H278" s="47"/>
      <c r="I278" s="113"/>
      <c r="Q278" s="135">
        <f t="shared" si="65"/>
        <v>0</v>
      </c>
      <c r="R278" s="144"/>
    </row>
    <row r="279" spans="1:41" s="45" customFormat="1">
      <c r="A279" s="47"/>
      <c r="B279" s="106"/>
      <c r="C279" s="106"/>
      <c r="D279" s="107"/>
      <c r="E279" s="106"/>
      <c r="F279" s="107"/>
      <c r="G279" s="107"/>
      <c r="H279" s="49" t="s">
        <v>900</v>
      </c>
      <c r="I279" s="123"/>
      <c r="J279" s="47"/>
      <c r="K279" s="47"/>
      <c r="L279" s="47"/>
      <c r="M279" s="47"/>
      <c r="N279" s="47"/>
      <c r="O279" s="47"/>
      <c r="P279" s="47"/>
      <c r="Q279" s="135">
        <f t="shared" si="65"/>
        <v>0</v>
      </c>
      <c r="R279" s="144"/>
    </row>
    <row r="280" spans="1:41" ht="18">
      <c r="A280" s="16" t="s">
        <v>274</v>
      </c>
      <c r="B280" s="71"/>
      <c r="C280" s="71"/>
      <c r="D280" s="71"/>
      <c r="E280" s="71"/>
      <c r="F280" s="71"/>
      <c r="G280" s="71"/>
      <c r="H280" s="72"/>
      <c r="I280" s="118"/>
      <c r="J280" s="102"/>
      <c r="K280" s="102"/>
      <c r="L280" s="102"/>
      <c r="M280" s="102"/>
      <c r="N280" s="102"/>
      <c r="O280" s="102"/>
      <c r="P280" s="102"/>
      <c r="Q280" s="135">
        <f t="shared" si="65"/>
        <v>0</v>
      </c>
    </row>
    <row r="281" spans="1:41">
      <c r="A281" s="22"/>
      <c r="B281" s="23"/>
      <c r="C281" s="23"/>
      <c r="D281" s="23"/>
      <c r="E281" s="23"/>
      <c r="F281" s="23"/>
      <c r="G281" s="23"/>
      <c r="H281" s="73"/>
      <c r="I281" s="118"/>
      <c r="J281" s="102"/>
      <c r="K281" s="102"/>
      <c r="L281" s="102"/>
      <c r="M281" s="102"/>
      <c r="N281" s="102"/>
      <c r="O281" s="102"/>
      <c r="P281" s="102"/>
      <c r="Q281" s="135">
        <f t="shared" si="65"/>
        <v>0</v>
      </c>
    </row>
    <row r="282" spans="1:41" ht="15.75">
      <c r="A282" s="74" t="s">
        <v>205</v>
      </c>
      <c r="B282" s="23"/>
      <c r="C282" s="23"/>
      <c r="D282" s="23"/>
      <c r="E282" s="23"/>
      <c r="F282" s="23"/>
      <c r="G282" s="23"/>
      <c r="H282" s="73"/>
      <c r="I282" s="118"/>
      <c r="J282" s="102"/>
      <c r="K282" s="102"/>
      <c r="L282" s="102"/>
      <c r="M282" s="102"/>
      <c r="N282" s="102"/>
      <c r="O282" s="102"/>
      <c r="P282" s="102"/>
      <c r="Q282" s="135">
        <f t="shared" si="65"/>
        <v>0</v>
      </c>
    </row>
    <row r="283" spans="1:41" ht="15.75">
      <c r="A283" s="74" t="s">
        <v>252</v>
      </c>
      <c r="B283" s="23"/>
      <c r="C283" s="23"/>
      <c r="D283" s="23"/>
      <c r="E283" s="23"/>
      <c r="F283" s="23"/>
      <c r="G283" s="23"/>
      <c r="H283" s="73"/>
      <c r="I283" s="118"/>
      <c r="J283" s="102"/>
      <c r="K283" s="102"/>
      <c r="L283" s="102"/>
      <c r="M283" s="102"/>
      <c r="N283" s="102"/>
      <c r="O283" s="102"/>
      <c r="P283" s="102"/>
      <c r="Q283" s="135">
        <f t="shared" si="65"/>
        <v>0</v>
      </c>
    </row>
    <row r="284" spans="1:41">
      <c r="A284" s="76"/>
      <c r="B284" s="77"/>
      <c r="C284" s="77"/>
      <c r="D284" s="77"/>
      <c r="E284" s="77"/>
      <c r="F284" s="77"/>
      <c r="G284" s="77"/>
      <c r="H284" s="77"/>
      <c r="I284" s="118"/>
      <c r="J284" s="102"/>
      <c r="K284" s="102"/>
      <c r="L284" s="102"/>
      <c r="M284" s="102"/>
      <c r="N284" s="102"/>
      <c r="O284" s="102"/>
      <c r="P284" s="102"/>
      <c r="Q284" s="135">
        <f t="shared" si="65"/>
        <v>0</v>
      </c>
    </row>
    <row r="285" spans="1:41">
      <c r="A285" s="80"/>
      <c r="B285" s="81" t="s">
        <v>207</v>
      </c>
      <c r="C285" s="81"/>
      <c r="D285" s="81"/>
      <c r="E285" s="81"/>
      <c r="F285" s="81"/>
      <c r="G285" s="81"/>
      <c r="H285" s="82"/>
      <c r="I285" s="118"/>
      <c r="J285" s="102"/>
      <c r="K285" s="102"/>
      <c r="L285" s="102"/>
      <c r="M285" s="102"/>
      <c r="N285" s="102"/>
      <c r="O285" s="102"/>
      <c r="P285" s="102"/>
      <c r="Q285" s="135">
        <f t="shared" si="65"/>
        <v>0</v>
      </c>
    </row>
    <row r="286" spans="1:41">
      <c r="A286" s="80"/>
      <c r="B286" s="81" t="s">
        <v>208</v>
      </c>
      <c r="C286" s="81"/>
      <c r="D286" s="653" t="s">
        <v>209</v>
      </c>
      <c r="E286" s="654"/>
      <c r="F286" s="654"/>
      <c r="G286" s="654"/>
      <c r="H286" s="86" t="s">
        <v>39</v>
      </c>
      <c r="I286" s="118"/>
      <c r="J286" s="102"/>
      <c r="K286" s="102"/>
      <c r="L286" s="102"/>
      <c r="M286" s="102"/>
      <c r="N286" s="102"/>
      <c r="O286" s="102"/>
      <c r="P286" s="102"/>
      <c r="Q286" s="135">
        <f t="shared" si="65"/>
        <v>0</v>
      </c>
    </row>
    <row r="287" spans="1:41" ht="36">
      <c r="A287" s="80"/>
      <c r="B287" s="87" t="s">
        <v>210</v>
      </c>
      <c r="C287" s="88" t="s">
        <v>211</v>
      </c>
      <c r="D287" s="89" t="s">
        <v>212</v>
      </c>
      <c r="E287" s="90" t="s">
        <v>7</v>
      </c>
      <c r="F287" s="87" t="s">
        <v>213</v>
      </c>
      <c r="G287" s="91" t="s">
        <v>214</v>
      </c>
      <c r="H287" s="92" t="s">
        <v>215</v>
      </c>
      <c r="I287" s="118"/>
      <c r="J287" s="102"/>
      <c r="K287" s="102"/>
      <c r="L287" s="102"/>
      <c r="M287" s="102"/>
      <c r="N287" s="102"/>
      <c r="O287" s="102"/>
      <c r="P287" s="102"/>
      <c r="Q287" s="135">
        <f t="shared" si="65"/>
        <v>0</v>
      </c>
    </row>
    <row r="288" spans="1:41" ht="15.75" customHeight="1">
      <c r="A288" s="99" t="s">
        <v>175</v>
      </c>
      <c r="B288" s="597">
        <f>('Pivot Table for Data Exchange'!$L$6)*100</f>
        <v>58.515313788471211</v>
      </c>
      <c r="C288" s="597">
        <f>('Pivot Table for Data Exchange'!$L$9)*100</f>
        <v>22.611946604099597</v>
      </c>
      <c r="D288" s="603">
        <f>SUM(E288:G288)</f>
        <v>18.872739607429185</v>
      </c>
      <c r="E288" s="597">
        <f>('Pivot Table for Data Exchange'!$L$12)*100</f>
        <v>15.646257670364442</v>
      </c>
      <c r="F288" s="597">
        <f>('Pivot Table for Data Exchange'!$L$15)*100</f>
        <v>0.22801386696578688</v>
      </c>
      <c r="G288" s="97">
        <f>('Pivot Table for Data Exchange'!$L$18)*100</f>
        <v>2.9984680700989572</v>
      </c>
      <c r="H288" s="597">
        <f>('Pivot Table for Data Exchange'!$L$21)*100</f>
        <v>0</v>
      </c>
      <c r="I288" s="102"/>
      <c r="J288" s="119"/>
      <c r="K288" s="119"/>
      <c r="L288" s="119"/>
      <c r="M288" s="119"/>
      <c r="N288" s="119"/>
      <c r="O288" s="119"/>
      <c r="P288" s="119"/>
      <c r="Q288" s="135">
        <f t="shared" si="65"/>
        <v>99.999999999999986</v>
      </c>
      <c r="R288" s="135"/>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row>
    <row r="289" spans="1:41" ht="15.75" customHeight="1">
      <c r="A289" s="102" t="s">
        <v>176</v>
      </c>
      <c r="B289" s="597">
        <f>('Pivot Table for Data Exchange'!$L$42)*100</f>
        <v>68.177514424125619</v>
      </c>
      <c r="C289" s="597">
        <f>('Pivot Table for Data Exchange'!$L$45)*100</f>
        <v>4.7401260358164166</v>
      </c>
      <c r="D289" s="603">
        <f t="shared" ref="D289:D291" si="67">SUM(E289:G289)</f>
        <v>27.082359540057958</v>
      </c>
      <c r="E289" s="597">
        <f>('Pivot Table for Data Exchange'!$L$48)*100</f>
        <v>22.520332803589792</v>
      </c>
      <c r="F289" s="597">
        <f>('Pivot Table for Data Exchange'!$L$51)*100</f>
        <v>4.3503690227070617</v>
      </c>
      <c r="G289" s="599">
        <f>('Pivot Table for Data Exchange'!$L$54)*100</f>
        <v>0.21165771376110723</v>
      </c>
      <c r="H289" s="597">
        <f>('Pivot Table for Data Exchange'!$L$57)*100</f>
        <v>0</v>
      </c>
      <c r="I289" s="102"/>
      <c r="J289" s="119"/>
      <c r="K289" s="119"/>
      <c r="L289" s="119"/>
      <c r="M289" s="119"/>
      <c r="N289" s="119"/>
      <c r="O289" s="119"/>
      <c r="P289" s="119"/>
      <c r="Q289" s="135">
        <f t="shared" si="65"/>
        <v>100</v>
      </c>
      <c r="R289" s="135"/>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row>
    <row r="290" spans="1:41" ht="15.75" customHeight="1">
      <c r="A290" s="102" t="s">
        <v>177</v>
      </c>
      <c r="B290" s="597">
        <f>('Pivot Table for Data Exchange'!$L$78)*100</f>
        <v>89.670539062019799</v>
      </c>
      <c r="C290" s="597">
        <f>('Pivot Table for Data Exchange'!$L$81)*100</f>
        <v>0</v>
      </c>
      <c r="D290" s="603">
        <f t="shared" si="67"/>
        <v>10.329460937980208</v>
      </c>
      <c r="E290" s="597">
        <f>('Pivot Table for Data Exchange'!$L$84)*100</f>
        <v>7.768762677484788</v>
      </c>
      <c r="F290" s="597">
        <f>('Pivot Table for Data Exchange'!$L$87)*100</f>
        <v>0.11617186059376729</v>
      </c>
      <c r="G290" s="599">
        <f>('Pivot Table for Data Exchange'!$L$90)*100</f>
        <v>2.4445263999016533</v>
      </c>
      <c r="H290" s="597">
        <f>('Pivot Table for Data Exchange'!$L$93)*100</f>
        <v>0</v>
      </c>
      <c r="I290" s="102"/>
      <c r="J290" s="119"/>
      <c r="K290" s="119"/>
      <c r="L290" s="119"/>
      <c r="M290" s="119"/>
      <c r="N290" s="119"/>
      <c r="O290" s="119"/>
      <c r="P290" s="119"/>
      <c r="Q290" s="135">
        <f t="shared" si="65"/>
        <v>100</v>
      </c>
      <c r="R290" s="135"/>
      <c r="S290" s="100"/>
      <c r="T290" s="112"/>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row>
    <row r="291" spans="1:41" ht="15.75" customHeight="1">
      <c r="A291" s="102" t="s">
        <v>217</v>
      </c>
      <c r="B291" s="597">
        <f>('Pivot Table for Data Exchange'!$L$114)*100</f>
        <v>76.290011971815176</v>
      </c>
      <c r="C291" s="597">
        <f>('Pivot Table for Data Exchange'!$L$117)*100</f>
        <v>2.3758222927800468</v>
      </c>
      <c r="D291" s="603">
        <f t="shared" si="67"/>
        <v>21.295490905983229</v>
      </c>
      <c r="E291" s="597">
        <f>('Pivot Table for Data Exchange'!$L$120)*100</f>
        <v>14.431269975658035</v>
      </c>
      <c r="F291" s="597">
        <f>('Pivot Table for Data Exchange'!$L$123)*100</f>
        <v>6.0963553680880508E-2</v>
      </c>
      <c r="G291" s="599">
        <f>('Pivot Table for Data Exchange'!$L$126)*100</f>
        <v>6.8032573766443143</v>
      </c>
      <c r="H291" s="104">
        <f>('Pivot Table for Data Exchange'!$L$129)*100</f>
        <v>3.8674829421550573E-2</v>
      </c>
      <c r="I291" s="102"/>
      <c r="J291" s="119"/>
      <c r="K291" s="119"/>
      <c r="L291" s="119"/>
      <c r="M291" s="119"/>
      <c r="N291" s="119"/>
      <c r="O291" s="119"/>
      <c r="P291" s="119"/>
      <c r="Q291" s="135">
        <f t="shared" si="65"/>
        <v>100</v>
      </c>
      <c r="R291" s="135"/>
      <c r="S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row>
    <row r="292" spans="1:41" ht="15.75" customHeight="1">
      <c r="A292" s="102"/>
      <c r="B292" s="597"/>
      <c r="C292" s="597"/>
      <c r="D292" s="603"/>
      <c r="E292" s="597"/>
      <c r="F292" s="597"/>
      <c r="G292" s="599"/>
      <c r="H292" s="597"/>
      <c r="I292" s="102"/>
      <c r="J292" s="119"/>
      <c r="K292" s="119"/>
      <c r="L292" s="119"/>
      <c r="M292" s="119"/>
      <c r="N292" s="119"/>
      <c r="O292" s="119"/>
      <c r="P292" s="119"/>
      <c r="Q292" s="135">
        <f t="shared" si="65"/>
        <v>0</v>
      </c>
      <c r="R292" s="135"/>
      <c r="S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row>
    <row r="293" spans="1:41" ht="15.75" customHeight="1">
      <c r="A293" s="102" t="s">
        <v>179</v>
      </c>
      <c r="B293" s="597">
        <f>('Pivot Table for Data Exchange'!$L$150)*100</f>
        <v>0</v>
      </c>
      <c r="C293" s="597">
        <f>('Pivot Table for Data Exchange'!$L$153)*100</f>
        <v>0</v>
      </c>
      <c r="D293" s="603">
        <f t="shared" ref="D293:D296" si="68">SUM(E293:G293)</f>
        <v>0</v>
      </c>
      <c r="E293" s="597">
        <f>('Pivot Table for Data Exchange'!$L$156)*100</f>
        <v>0</v>
      </c>
      <c r="F293" s="597">
        <f>('Pivot Table for Data Exchange'!$L$159)*100</f>
        <v>0</v>
      </c>
      <c r="G293" s="599">
        <f>('Pivot Table for Data Exchange'!$L$162)*100</f>
        <v>0</v>
      </c>
      <c r="H293" s="597">
        <f>('Pivot Table for Data Exchange'!$L$165)*100</f>
        <v>0</v>
      </c>
      <c r="I293" s="102"/>
      <c r="J293" s="119"/>
      <c r="K293" s="119"/>
      <c r="L293" s="119"/>
      <c r="M293" s="119"/>
      <c r="N293" s="119"/>
      <c r="O293" s="119"/>
      <c r="P293" s="119"/>
      <c r="Q293" s="135">
        <f t="shared" si="65"/>
        <v>0</v>
      </c>
      <c r="R293" s="135"/>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row>
    <row r="294" spans="1:41" ht="15.75" customHeight="1">
      <c r="A294" s="102" t="s">
        <v>180</v>
      </c>
      <c r="B294" s="597">
        <f>('Pivot Table for Data Exchange'!$L$186)*100</f>
        <v>70.766727826534947</v>
      </c>
      <c r="C294" s="597">
        <f>('Pivot Table for Data Exchange'!$L$189)*100</f>
        <v>7.736331673279766</v>
      </c>
      <c r="D294" s="603">
        <f t="shared" si="68"/>
        <v>21.496940500185289</v>
      </c>
      <c r="E294" s="597">
        <f>('Pivot Table for Data Exchange'!$L$192)*100</f>
        <v>21.239526749157172</v>
      </c>
      <c r="F294" s="597">
        <f>('Pivot Table for Data Exchange'!$L$195)*100</f>
        <v>0.25741375102811848</v>
      </c>
      <c r="G294" s="599">
        <f>('Pivot Table for Data Exchange'!$L$198)*100</f>
        <v>0</v>
      </c>
      <c r="H294" s="597">
        <f>('Pivot Table for Data Exchange'!$L$201)*100</f>
        <v>0</v>
      </c>
      <c r="I294" s="102"/>
      <c r="J294" s="119"/>
      <c r="K294" s="119"/>
      <c r="L294" s="119"/>
      <c r="M294" s="119"/>
      <c r="N294" s="119"/>
      <c r="O294" s="119"/>
      <c r="P294" s="119"/>
      <c r="Q294" s="135">
        <f t="shared" si="65"/>
        <v>100</v>
      </c>
      <c r="R294" s="135"/>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row>
    <row r="295" spans="1:41" ht="15.75" customHeight="1">
      <c r="A295" s="102" t="s">
        <v>181</v>
      </c>
      <c r="B295" s="597">
        <f>('Pivot Table for Data Exchange'!$L$222)*100</f>
        <v>0</v>
      </c>
      <c r="C295" s="597">
        <f>('Pivot Table for Data Exchange'!$L$225)*100</f>
        <v>0</v>
      </c>
      <c r="D295" s="603">
        <f t="shared" si="68"/>
        <v>0</v>
      </c>
      <c r="E295" s="597">
        <f>('Pivot Table for Data Exchange'!$L$228)*100</f>
        <v>0</v>
      </c>
      <c r="F295" s="597">
        <f>('Pivot Table for Data Exchange'!$L$231)*100</f>
        <v>0</v>
      </c>
      <c r="G295" s="599">
        <f>('Pivot Table for Data Exchange'!$L$234)*100</f>
        <v>0</v>
      </c>
      <c r="H295" s="597">
        <f>('Pivot Table for Data Exchange'!$L$237)*100</f>
        <v>0</v>
      </c>
      <c r="I295" s="102"/>
      <c r="J295" s="119"/>
      <c r="K295" s="119"/>
      <c r="L295" s="119"/>
      <c r="M295" s="119"/>
      <c r="N295" s="119"/>
      <c r="O295" s="119"/>
      <c r="P295" s="119"/>
      <c r="Q295" s="135">
        <f t="shared" si="65"/>
        <v>0</v>
      </c>
      <c r="R295" s="135"/>
      <c r="S295" s="100"/>
      <c r="T295" s="112"/>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row>
    <row r="296" spans="1:41" ht="15.75" customHeight="1">
      <c r="A296" s="102" t="s">
        <v>222</v>
      </c>
      <c r="B296" s="597">
        <f>('Pivot Table for Data Exchange'!$L$258)*100</f>
        <v>78.384209543150064</v>
      </c>
      <c r="C296" s="597">
        <f>('Pivot Table for Data Exchange'!$L$261)*100</f>
        <v>9.3038288301915415</v>
      </c>
      <c r="D296" s="603">
        <f t="shared" si="68"/>
        <v>12.311961626658386</v>
      </c>
      <c r="E296" s="597">
        <f>('Pivot Table for Data Exchange'!$L$264)*100</f>
        <v>12.113202177187759</v>
      </c>
      <c r="F296" s="597">
        <f>('Pivot Table for Data Exchange'!$L$267)*100</f>
        <v>0.10381036442869021</v>
      </c>
      <c r="G296" s="599">
        <f>('Pivot Table for Data Exchange'!$L$270)*100</f>
        <v>9.4949085041936471E-2</v>
      </c>
      <c r="H296" s="597">
        <f>('Pivot Table for Data Exchange'!$L$273)*100</f>
        <v>0</v>
      </c>
      <c r="I296" s="102"/>
      <c r="J296" s="119"/>
      <c r="K296" s="119"/>
      <c r="L296" s="119"/>
      <c r="M296" s="119"/>
      <c r="N296" s="119"/>
      <c r="O296" s="119"/>
      <c r="P296" s="119"/>
      <c r="Q296" s="135">
        <f t="shared" si="65"/>
        <v>100</v>
      </c>
      <c r="R296" s="135"/>
      <c r="S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row>
    <row r="297" spans="1:41" ht="9.75" customHeight="1">
      <c r="A297" s="102"/>
      <c r="B297" s="597"/>
      <c r="C297" s="597"/>
      <c r="D297" s="603"/>
      <c r="E297" s="597"/>
      <c r="F297" s="597"/>
      <c r="G297" s="599"/>
      <c r="H297" s="597"/>
      <c r="I297" s="102"/>
      <c r="J297" s="119"/>
      <c r="K297" s="119"/>
      <c r="L297" s="119"/>
      <c r="M297" s="119"/>
      <c r="N297" s="119"/>
      <c r="O297" s="119"/>
      <c r="P297" s="119"/>
      <c r="Q297" s="135">
        <f t="shared" si="65"/>
        <v>0</v>
      </c>
      <c r="R297" s="135"/>
      <c r="S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row>
    <row r="298" spans="1:41" ht="15.75" customHeight="1">
      <c r="A298" s="102" t="s">
        <v>224</v>
      </c>
      <c r="B298" s="597">
        <f>('Pivot Table for Data Exchange'!$L$294)*100</f>
        <v>79.418558883547462</v>
      </c>
      <c r="C298" s="597">
        <f>('Pivot Table for Data Exchange'!$L$297)*100</f>
        <v>0</v>
      </c>
      <c r="D298" s="603">
        <f t="shared" ref="D298:D300" si="69">SUM(E298:G298)</f>
        <v>20.581441116452542</v>
      </c>
      <c r="E298" s="597">
        <f>('Pivot Table for Data Exchange'!$L$300)*100</f>
        <v>20.581441116452542</v>
      </c>
      <c r="F298" s="597">
        <f>('Pivot Table for Data Exchange'!$L$303)*100</f>
        <v>0</v>
      </c>
      <c r="G298" s="599">
        <f>('Pivot Table for Data Exchange'!$L$306)*100</f>
        <v>0</v>
      </c>
      <c r="H298" s="597">
        <f>('Pivot Table for Data Exchange'!$L$309)*100</f>
        <v>0</v>
      </c>
      <c r="I298" s="124"/>
      <c r="J298" s="119"/>
      <c r="K298" s="119"/>
      <c r="L298" s="119"/>
      <c r="M298" s="119"/>
      <c r="N298" s="119"/>
      <c r="O298" s="119"/>
      <c r="P298" s="119"/>
      <c r="Q298" s="135">
        <f t="shared" si="65"/>
        <v>100</v>
      </c>
      <c r="R298" s="135"/>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row>
    <row r="299" spans="1:41" ht="15.75" customHeight="1">
      <c r="A299" s="102" t="s">
        <v>184</v>
      </c>
      <c r="B299" s="597">
        <f>('Pivot Table for Data Exchange'!$L$330)*100</f>
        <v>75.698836358120758</v>
      </c>
      <c r="C299" s="597">
        <f>('Pivot Table for Data Exchange'!$L$333)*100</f>
        <v>3.0396393336674667</v>
      </c>
      <c r="D299" s="603">
        <f t="shared" si="69"/>
        <v>21.261524308211769</v>
      </c>
      <c r="E299" s="597">
        <f>('Pivot Table for Data Exchange'!$L$336)*100</f>
        <v>20.796018095966655</v>
      </c>
      <c r="F299" s="597">
        <f>('Pivot Table for Data Exchange'!$L$339)*100</f>
        <v>0.19112380964942363</v>
      </c>
      <c r="G299" s="599">
        <f>('Pivot Table for Data Exchange'!$L$342)*100</f>
        <v>0.27438240259568969</v>
      </c>
      <c r="H299" s="597">
        <f>('Pivot Table for Data Exchange'!$L$345)*100</f>
        <v>0</v>
      </c>
      <c r="I299" s="102"/>
      <c r="J299" s="119"/>
      <c r="K299" s="119"/>
      <c r="L299" s="119"/>
      <c r="M299" s="119"/>
      <c r="N299" s="119"/>
      <c r="O299" s="119"/>
      <c r="P299" s="119"/>
      <c r="Q299" s="135">
        <f t="shared" si="65"/>
        <v>100</v>
      </c>
      <c r="R299" s="135"/>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row>
    <row r="300" spans="1:41" ht="15.75" customHeight="1">
      <c r="A300" s="102" t="s">
        <v>185</v>
      </c>
      <c r="B300" s="597">
        <f>('Pivot Table for Data Exchange'!$L$366)*100</f>
        <v>75.306409557621208</v>
      </c>
      <c r="C300" s="597">
        <f>('Pivot Table for Data Exchange'!$L$369)*100</f>
        <v>5.0120550555121799</v>
      </c>
      <c r="D300" s="603">
        <f t="shared" si="69"/>
        <v>17.76426596742434</v>
      </c>
      <c r="E300" s="597">
        <f>('Pivot Table for Data Exchange'!$L$372)*100</f>
        <v>17.326134672893065</v>
      </c>
      <c r="F300" s="104">
        <f>('Pivot Table for Data Exchange'!$L$375)*100</f>
        <v>4.9595136730354678E-2</v>
      </c>
      <c r="G300" s="599">
        <f>('Pivot Table for Data Exchange'!$L$378)*100</f>
        <v>0.38853615780092216</v>
      </c>
      <c r="H300" s="597">
        <f>('Pivot Table for Data Exchange'!$L$381)*100</f>
        <v>1.9172694194422757</v>
      </c>
      <c r="I300" s="102"/>
      <c r="J300" s="119"/>
      <c r="K300" s="119"/>
      <c r="L300" s="119"/>
      <c r="M300" s="119"/>
      <c r="N300" s="119"/>
      <c r="O300" s="119"/>
      <c r="P300" s="119"/>
      <c r="Q300" s="135">
        <f t="shared" si="65"/>
        <v>100</v>
      </c>
      <c r="R300" s="135"/>
      <c r="S300" s="100"/>
      <c r="T300" s="112"/>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row>
    <row r="301" spans="1:41" ht="15.75" customHeight="1">
      <c r="A301" s="102" t="s">
        <v>186</v>
      </c>
      <c r="B301" s="597">
        <f>('Pivot Table for Data Exchange'!$L$402)*100</f>
        <v>75.47223332031659</v>
      </c>
      <c r="C301" s="597">
        <f>('Pivot Table for Data Exchange'!$L$405)*100</f>
        <v>4.3227641854337318</v>
      </c>
      <c r="D301" s="603">
        <f>SUM(E301:G301)</f>
        <v>20.205002494249683</v>
      </c>
      <c r="E301" s="597">
        <f>('Pivot Table for Data Exchange'!$L$408)*100</f>
        <v>20.112455673458701</v>
      </c>
      <c r="F301" s="104">
        <f>('Pivot Table for Data Exchange'!$L$411)*100</f>
        <v>4.9659269692721983E-2</v>
      </c>
      <c r="G301" s="105">
        <f>('Pivot Table for Data Exchange'!$L$414)*100</f>
        <v>4.2887551098259896E-2</v>
      </c>
      <c r="H301" s="597">
        <f>('Pivot Table for Data Exchange'!$L$417)*100</f>
        <v>0</v>
      </c>
      <c r="I301" s="102"/>
      <c r="J301" s="119"/>
      <c r="K301" s="119"/>
      <c r="L301" s="119"/>
      <c r="M301" s="119"/>
      <c r="N301" s="119"/>
      <c r="O301" s="119"/>
      <c r="P301" s="119"/>
      <c r="Q301" s="135">
        <f t="shared" si="65"/>
        <v>100</v>
      </c>
      <c r="R301" s="135"/>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row>
    <row r="302" spans="1:41" ht="11.25" customHeight="1">
      <c r="A302" s="102"/>
      <c r="B302" s="597"/>
      <c r="C302" s="597"/>
      <c r="D302" s="603"/>
      <c r="E302" s="597"/>
      <c r="F302" s="597"/>
      <c r="G302" s="599"/>
      <c r="H302" s="597"/>
      <c r="I302" s="102"/>
      <c r="J302" s="119"/>
      <c r="K302" s="119"/>
      <c r="L302" s="119"/>
      <c r="M302" s="119"/>
      <c r="N302" s="119"/>
      <c r="O302" s="119"/>
      <c r="P302" s="119"/>
      <c r="Q302" s="135">
        <f t="shared" si="65"/>
        <v>0</v>
      </c>
      <c r="R302" s="135"/>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row>
    <row r="303" spans="1:41" ht="15.75" customHeight="1">
      <c r="A303" s="102" t="s">
        <v>187</v>
      </c>
      <c r="B303" s="597">
        <f>('Pivot Table for Data Exchange'!$L$438)*100</f>
        <v>50.879430019735629</v>
      </c>
      <c r="C303" s="597">
        <f>('Pivot Table for Data Exchange'!$L$441)*100</f>
        <v>27.086149357784961</v>
      </c>
      <c r="D303" s="603">
        <f>SUM(E303:G303)</f>
        <v>21.934589191817516</v>
      </c>
      <c r="E303" s="597">
        <f>('Pivot Table for Data Exchange'!$L$444)*100</f>
        <v>15.998586490279354</v>
      </c>
      <c r="F303" s="597">
        <f>('Pivot Table for Data Exchange'!$L$447)*100</f>
        <v>0.5134583286816069</v>
      </c>
      <c r="G303" s="599">
        <f>('Pivot Table for Data Exchange'!$L$450)*100</f>
        <v>5.4225443728565539</v>
      </c>
      <c r="H303" s="597">
        <f>('Pivot Table for Data Exchange'!$L$453)*100</f>
        <v>9.9831430661904516E-2</v>
      </c>
      <c r="I303" s="102"/>
      <c r="J303" s="119"/>
      <c r="K303" s="119"/>
      <c r="L303" s="119"/>
      <c r="M303" s="119"/>
      <c r="N303" s="119"/>
      <c r="O303" s="119"/>
      <c r="P303" s="119"/>
      <c r="Q303" s="135">
        <f t="shared" si="65"/>
        <v>100</v>
      </c>
      <c r="R303" s="135"/>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row>
    <row r="304" spans="1:41" ht="15.75" customHeight="1">
      <c r="A304" s="102" t="s">
        <v>188</v>
      </c>
      <c r="B304" s="597">
        <f>('Pivot Table for Data Exchange'!$L$474)*100</f>
        <v>73.802294503573535</v>
      </c>
      <c r="C304" s="597">
        <f>('Pivot Table for Data Exchange'!$L$477)*100</f>
        <v>9.1193989220966074</v>
      </c>
      <c r="D304" s="603">
        <f>SUM(E304:G304)</f>
        <v>17.078306574329851</v>
      </c>
      <c r="E304" s="597">
        <f>('Pivot Table for Data Exchange'!$L$480)*100</f>
        <v>16.400514862819172</v>
      </c>
      <c r="F304" s="597">
        <f>('Pivot Table for Data Exchange'!$L$483)*100</f>
        <v>8.9498547640341888E-2</v>
      </c>
      <c r="G304" s="599">
        <f>('Pivot Table for Data Exchange'!$L$486)*100</f>
        <v>0.58829316387033692</v>
      </c>
      <c r="H304" s="597">
        <f>('Pivot Table for Data Exchange'!$L$489)*100</f>
        <v>0</v>
      </c>
      <c r="I304" s="102"/>
      <c r="J304" s="119"/>
      <c r="K304" s="119"/>
      <c r="L304" s="119"/>
      <c r="M304" s="119"/>
      <c r="N304" s="119"/>
      <c r="O304" s="119"/>
      <c r="P304" s="119"/>
      <c r="Q304" s="135">
        <f t="shared" si="65"/>
        <v>100</v>
      </c>
      <c r="R304" s="135"/>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row>
    <row r="305" spans="1:41" ht="15.75" customHeight="1">
      <c r="A305" s="102" t="s">
        <v>189</v>
      </c>
      <c r="B305" s="597">
        <f>('Pivot Table for Data Exchange'!$L$510)*100</f>
        <v>71.155371229742386</v>
      </c>
      <c r="C305" s="597">
        <f>('Pivot Table for Data Exchange'!$L$513)*100</f>
        <v>6.2808535988434526</v>
      </c>
      <c r="D305" s="603">
        <f t="shared" ref="D305" si="70">SUM(E305:G305)</f>
        <v>22.563775171414154</v>
      </c>
      <c r="E305" s="597">
        <f>('Pivot Table for Data Exchange'!$L$516)*100</f>
        <v>22.286970247739458</v>
      </c>
      <c r="F305" s="597">
        <f>('Pivot Table for Data Exchange'!$L$519)*100</f>
        <v>0.27680492367469445</v>
      </c>
      <c r="G305" s="599">
        <f>('Pivot Table for Data Exchange'!$L$522)*100</f>
        <v>0</v>
      </c>
      <c r="H305" s="597">
        <f>('Pivot Table for Data Exchange'!$L$525)*100</f>
        <v>0</v>
      </c>
      <c r="I305" s="102"/>
      <c r="J305" s="119"/>
      <c r="K305" s="119"/>
      <c r="L305" s="119"/>
      <c r="M305" s="119"/>
      <c r="N305" s="119"/>
      <c r="O305" s="119"/>
      <c r="P305" s="119"/>
      <c r="Q305" s="135">
        <f t="shared" si="65"/>
        <v>99.999999999999986</v>
      </c>
      <c r="R305" s="135"/>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row>
    <row r="306" spans="1:41" ht="15.75" customHeight="1">
      <c r="A306" s="76" t="s">
        <v>190</v>
      </c>
      <c r="B306" s="600">
        <f>('Pivot Table for Data Exchange'!$L$546)*100</f>
        <v>0</v>
      </c>
      <c r="C306" s="600">
        <f>('Pivot Table for Data Exchange'!$L$549)*100</f>
        <v>0</v>
      </c>
      <c r="D306" s="604">
        <f>SUM(E306:G306)</f>
        <v>0</v>
      </c>
      <c r="E306" s="600">
        <f>('Pivot Table for Data Exchange'!$L$552)*100</f>
        <v>0</v>
      </c>
      <c r="F306" s="600">
        <f>('Pivot Table for Data Exchange'!$L$555)*100</f>
        <v>0</v>
      </c>
      <c r="G306" s="601">
        <f>('Pivot Table for Data Exchange'!$L$558)*100</f>
        <v>0</v>
      </c>
      <c r="H306" s="600">
        <f>('Pivot Table for Data Exchange'!$L$561)*100</f>
        <v>0</v>
      </c>
      <c r="I306" s="102"/>
      <c r="J306" s="119"/>
      <c r="K306" s="119"/>
      <c r="L306" s="119"/>
      <c r="M306" s="119"/>
      <c r="N306" s="119"/>
      <c r="O306" s="119"/>
      <c r="P306" s="119"/>
      <c r="Q306" s="135">
        <f t="shared" si="65"/>
        <v>0</v>
      </c>
      <c r="R306" s="135"/>
      <c r="S306" s="100"/>
      <c r="T306" s="100"/>
      <c r="U306" s="100"/>
      <c r="V306" s="100"/>
      <c r="W306" s="100"/>
      <c r="X306" s="100"/>
      <c r="Y306" s="100"/>
      <c r="Z306" s="100"/>
      <c r="AA306" s="100"/>
      <c r="AB306" s="100"/>
      <c r="AC306" s="100"/>
      <c r="AD306" s="100"/>
      <c r="AE306" s="100"/>
      <c r="AF306" s="100"/>
      <c r="AG306" s="100"/>
      <c r="AH306" s="100"/>
      <c r="AI306" s="100"/>
      <c r="AJ306" s="100"/>
      <c r="AK306" s="100"/>
      <c r="AL306" s="100"/>
      <c r="AM306" s="100"/>
      <c r="AN306" s="100"/>
      <c r="AO306" s="100"/>
    </row>
    <row r="307" spans="1:41" s="45" customFormat="1" ht="18" customHeight="1">
      <c r="A307" s="43" t="s">
        <v>219</v>
      </c>
      <c r="B307" s="106"/>
      <c r="C307" s="106"/>
      <c r="D307" s="107"/>
      <c r="E307" s="106"/>
      <c r="F307" s="107"/>
      <c r="G307" s="107"/>
      <c r="H307" s="106"/>
      <c r="I307" s="43"/>
      <c r="J307" s="106"/>
      <c r="K307" s="106"/>
      <c r="L307" s="107"/>
      <c r="M307" s="106"/>
      <c r="N307" s="107"/>
      <c r="O307" s="107"/>
      <c r="P307" s="106"/>
      <c r="Q307" s="135">
        <f t="shared" si="65"/>
        <v>0</v>
      </c>
      <c r="R307" s="139"/>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row>
    <row r="308" spans="1:41" s="45" customFormat="1" ht="30" customHeight="1">
      <c r="A308" s="655" t="s">
        <v>225</v>
      </c>
      <c r="B308" s="662"/>
      <c r="C308" s="662"/>
      <c r="D308" s="662"/>
      <c r="E308" s="662"/>
      <c r="F308" s="662"/>
      <c r="G308" s="662"/>
      <c r="H308" s="662"/>
      <c r="I308" s="43"/>
      <c r="P308" s="115"/>
      <c r="Q308" s="135">
        <f t="shared" si="65"/>
        <v>0</v>
      </c>
      <c r="R308" s="144"/>
    </row>
    <row r="309" spans="1:41" s="45" customFormat="1" ht="13.5" customHeight="1">
      <c r="A309" s="113"/>
      <c r="H309" s="47"/>
      <c r="I309" s="113"/>
      <c r="Q309" s="135">
        <f t="shared" si="65"/>
        <v>0</v>
      </c>
      <c r="R309" s="144"/>
    </row>
    <row r="310" spans="1:41" s="45" customFormat="1">
      <c r="A310" s="47"/>
      <c r="H310" s="49" t="s">
        <v>900</v>
      </c>
      <c r="I310" s="123"/>
      <c r="J310" s="47"/>
      <c r="K310" s="47"/>
      <c r="L310" s="47"/>
      <c r="M310" s="47"/>
      <c r="N310" s="47"/>
      <c r="O310" s="47"/>
      <c r="P310" s="47"/>
      <c r="Q310" s="135">
        <f t="shared" si="65"/>
        <v>0</v>
      </c>
      <c r="R310" s="144"/>
    </row>
    <row r="311" spans="1:41" ht="18">
      <c r="A311" s="16" t="s">
        <v>275</v>
      </c>
      <c r="B311" s="71"/>
      <c r="C311" s="71"/>
      <c r="D311" s="71"/>
      <c r="E311" s="71"/>
      <c r="F311" s="71"/>
      <c r="G311" s="71"/>
      <c r="H311" s="72"/>
      <c r="I311" s="118"/>
      <c r="J311" s="102"/>
      <c r="K311" s="102"/>
      <c r="L311" s="102"/>
      <c r="M311" s="102"/>
      <c r="N311" s="102"/>
      <c r="O311" s="102"/>
      <c r="P311" s="102"/>
      <c r="Q311" s="135">
        <f t="shared" si="65"/>
        <v>0</v>
      </c>
    </row>
    <row r="312" spans="1:41">
      <c r="A312" s="22"/>
      <c r="B312" s="23"/>
      <c r="C312" s="23"/>
      <c r="D312" s="23"/>
      <c r="E312" s="23"/>
      <c r="F312" s="23"/>
      <c r="G312" s="23"/>
      <c r="H312" s="73"/>
      <c r="I312" s="118"/>
      <c r="J312" s="102"/>
      <c r="K312" s="102"/>
      <c r="L312" s="102"/>
      <c r="M312" s="102"/>
      <c r="N312" s="102"/>
      <c r="O312" s="102"/>
      <c r="P312" s="102"/>
      <c r="Q312" s="135">
        <f t="shared" si="65"/>
        <v>0</v>
      </c>
    </row>
    <row r="313" spans="1:41" ht="15.75">
      <c r="A313" s="74" t="s">
        <v>205</v>
      </c>
      <c r="B313" s="23"/>
      <c r="C313" s="23"/>
      <c r="D313" s="23"/>
      <c r="E313" s="23"/>
      <c r="F313" s="23"/>
      <c r="G313" s="23"/>
      <c r="H313" s="73"/>
      <c r="I313" s="118"/>
      <c r="J313" s="102"/>
      <c r="K313" s="102"/>
      <c r="L313" s="102"/>
      <c r="M313" s="102"/>
      <c r="N313" s="102"/>
      <c r="O313" s="102"/>
      <c r="P313" s="102"/>
      <c r="Q313" s="135">
        <f t="shared" si="65"/>
        <v>0</v>
      </c>
    </row>
    <row r="314" spans="1:41" ht="15.75">
      <c r="A314" s="74" t="s">
        <v>251</v>
      </c>
      <c r="B314" s="23"/>
      <c r="C314" s="23"/>
      <c r="D314" s="23"/>
      <c r="E314" s="23"/>
      <c r="F314" s="23"/>
      <c r="G314" s="23"/>
      <c r="H314" s="73"/>
      <c r="I314" s="118"/>
      <c r="J314" s="102"/>
      <c r="K314" s="102"/>
      <c r="L314" s="102"/>
      <c r="M314" s="102"/>
      <c r="N314" s="102"/>
      <c r="O314" s="102"/>
      <c r="P314" s="102"/>
      <c r="Q314" s="135">
        <f t="shared" si="65"/>
        <v>0</v>
      </c>
    </row>
    <row r="315" spans="1:41">
      <c r="A315" s="76"/>
      <c r="B315" s="77"/>
      <c r="C315" s="77"/>
      <c r="D315" s="77"/>
      <c r="E315" s="77"/>
      <c r="F315" s="77"/>
      <c r="G315" s="77"/>
      <c r="H315" s="77"/>
      <c r="I315" s="118"/>
      <c r="J315" s="102"/>
      <c r="K315" s="102"/>
      <c r="L315" s="102"/>
      <c r="M315" s="102"/>
      <c r="N315" s="102"/>
      <c r="O315" s="102"/>
      <c r="P315" s="102"/>
      <c r="Q315" s="135">
        <f t="shared" si="65"/>
        <v>0</v>
      </c>
    </row>
    <row r="316" spans="1:41">
      <c r="A316" s="80"/>
      <c r="B316" s="81" t="s">
        <v>207</v>
      </c>
      <c r="C316" s="81"/>
      <c r="D316" s="81"/>
      <c r="E316" s="81"/>
      <c r="F316" s="81"/>
      <c r="G316" s="81"/>
      <c r="H316" s="82"/>
      <c r="I316" s="118"/>
      <c r="J316" s="102"/>
      <c r="K316" s="102"/>
      <c r="L316" s="102"/>
      <c r="M316" s="102"/>
      <c r="N316" s="102"/>
      <c r="O316" s="102"/>
      <c r="P316" s="102"/>
      <c r="Q316" s="135">
        <f t="shared" si="65"/>
        <v>0</v>
      </c>
    </row>
    <row r="317" spans="1:41">
      <c r="A317" s="80"/>
      <c r="B317" s="81" t="s">
        <v>208</v>
      </c>
      <c r="C317" s="81"/>
      <c r="D317" s="653" t="s">
        <v>209</v>
      </c>
      <c r="E317" s="654"/>
      <c r="F317" s="654"/>
      <c r="G317" s="654"/>
      <c r="H317" s="86" t="s">
        <v>39</v>
      </c>
      <c r="I317" s="118"/>
      <c r="J317" s="102"/>
      <c r="K317" s="102"/>
      <c r="L317" s="102"/>
      <c r="M317" s="102"/>
      <c r="N317" s="102"/>
      <c r="O317" s="102"/>
      <c r="P317" s="102"/>
      <c r="Q317" s="135">
        <f t="shared" si="65"/>
        <v>0</v>
      </c>
    </row>
    <row r="318" spans="1:41" ht="36">
      <c r="A318" s="80"/>
      <c r="B318" s="87" t="s">
        <v>210</v>
      </c>
      <c r="C318" s="88" t="s">
        <v>211</v>
      </c>
      <c r="D318" s="89" t="s">
        <v>212</v>
      </c>
      <c r="E318" s="90" t="s">
        <v>7</v>
      </c>
      <c r="F318" s="87" t="s">
        <v>213</v>
      </c>
      <c r="G318" s="91" t="s">
        <v>214</v>
      </c>
      <c r="H318" s="92" t="s">
        <v>215</v>
      </c>
      <c r="I318" s="118"/>
      <c r="J318" s="102"/>
      <c r="K318" s="102"/>
      <c r="L318" s="102"/>
      <c r="M318" s="102"/>
      <c r="N318" s="102"/>
      <c r="O318" s="102"/>
      <c r="P318" s="102"/>
      <c r="Q318" s="135">
        <f t="shared" si="65"/>
        <v>0</v>
      </c>
    </row>
    <row r="319" spans="1:41" ht="15.75" customHeight="1">
      <c r="A319" s="99" t="s">
        <v>175</v>
      </c>
      <c r="B319" s="597">
        <f>('Pivot Table for Data Exchange'!$M$6)*100</f>
        <v>63.660062435274689</v>
      </c>
      <c r="C319" s="597">
        <f>('Pivot Table for Data Exchange'!$M$9)*100</f>
        <v>22.784805921634511</v>
      </c>
      <c r="D319" s="603">
        <f>SUM(E319:G319)</f>
        <v>13.555131643090801</v>
      </c>
      <c r="E319" s="597">
        <f>('Pivot Table for Data Exchange'!$M$12)*100</f>
        <v>11.993917585105224</v>
      </c>
      <c r="F319" s="597">
        <f>('Pivot Table for Data Exchange'!$M$15)*100</f>
        <v>0.5085011796928397</v>
      </c>
      <c r="G319" s="97">
        <f>('Pivot Table for Data Exchange'!$M$18)*100</f>
        <v>1.0527128782927382</v>
      </c>
      <c r="H319" s="597">
        <f>('Pivot Table for Data Exchange'!$M$21)*100</f>
        <v>0</v>
      </c>
      <c r="I319" s="102"/>
      <c r="J319" s="119"/>
      <c r="K319" s="119"/>
      <c r="L319" s="119"/>
      <c r="M319" s="119"/>
      <c r="N319" s="119"/>
      <c r="O319" s="119"/>
      <c r="P319" s="119"/>
      <c r="Q319" s="135">
        <f t="shared" si="65"/>
        <v>100</v>
      </c>
      <c r="R319" s="135"/>
      <c r="S319" s="100"/>
      <c r="T319" s="100"/>
      <c r="U319" s="100"/>
      <c r="V319" s="100"/>
      <c r="W319" s="100"/>
      <c r="X319" s="100"/>
      <c r="Y319" s="100"/>
      <c r="Z319" s="100"/>
      <c r="AA319" s="100"/>
      <c r="AB319" s="100"/>
      <c r="AC319" s="100"/>
      <c r="AD319" s="100"/>
      <c r="AE319" s="100"/>
      <c r="AF319" s="100"/>
      <c r="AG319" s="100"/>
      <c r="AH319" s="100"/>
      <c r="AI319" s="100"/>
      <c r="AJ319" s="100"/>
      <c r="AK319" s="100"/>
      <c r="AL319" s="100"/>
      <c r="AM319" s="100"/>
      <c r="AN319" s="100"/>
      <c r="AO319" s="100"/>
    </row>
    <row r="320" spans="1:41" ht="15.75" customHeight="1">
      <c r="A320" s="102" t="s">
        <v>176</v>
      </c>
      <c r="B320" s="597">
        <f>('Pivot Table for Data Exchange'!$M$42)*100</f>
        <v>77.697144869882322</v>
      </c>
      <c r="C320" s="597">
        <f>('Pivot Table for Data Exchange'!$M$45)*100</f>
        <v>5.9645905851151992</v>
      </c>
      <c r="D320" s="603">
        <f t="shared" ref="D320:D322" si="71">SUM(E320:G320)</f>
        <v>16.338264545002488</v>
      </c>
      <c r="E320" s="597">
        <f>('Pivot Table for Data Exchange'!$M$48)*100</f>
        <v>13.664946958395491</v>
      </c>
      <c r="F320" s="597">
        <f>('Pivot Table for Data Exchange'!$M$51)*100</f>
        <v>2.6733175866069949</v>
      </c>
      <c r="G320" s="599">
        <f>('Pivot Table for Data Exchange'!$M$54)*100</f>
        <v>0</v>
      </c>
      <c r="H320" s="597">
        <f>('Pivot Table for Data Exchange'!$M$57)*100</f>
        <v>0</v>
      </c>
      <c r="I320" s="102"/>
      <c r="J320" s="119"/>
      <c r="K320" s="119"/>
      <c r="L320" s="119"/>
      <c r="M320" s="119"/>
      <c r="N320" s="119"/>
      <c r="O320" s="119"/>
      <c r="P320" s="119"/>
      <c r="Q320" s="135">
        <f t="shared" si="65"/>
        <v>100.00000000000001</v>
      </c>
      <c r="R320" s="135"/>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c r="AN320" s="100"/>
      <c r="AO320" s="100"/>
    </row>
    <row r="321" spans="1:41" ht="15.75" customHeight="1">
      <c r="A321" s="102" t="s">
        <v>177</v>
      </c>
      <c r="B321" s="597">
        <f>('Pivot Table for Data Exchange'!$M$78)*100</f>
        <v>83.063343085797726</v>
      </c>
      <c r="C321" s="597">
        <f>('Pivot Table for Data Exchange'!$M$81)*100</f>
        <v>0</v>
      </c>
      <c r="D321" s="603">
        <f t="shared" si="71"/>
        <v>16.936656914202278</v>
      </c>
      <c r="E321" s="597">
        <f>('Pivot Table for Data Exchange'!$M$84)*100</f>
        <v>12.422501092312881</v>
      </c>
      <c r="F321" s="597">
        <f>('Pivot Table for Data Exchange'!$M$87)*100</f>
        <v>0.24224457853314821</v>
      </c>
      <c r="G321" s="599">
        <f>('Pivot Table for Data Exchange'!$M$90)*100</f>
        <v>4.2719112433562492</v>
      </c>
      <c r="H321" s="597">
        <f>('Pivot Table for Data Exchange'!$M$93)*100</f>
        <v>0</v>
      </c>
      <c r="I321" s="102"/>
      <c r="J321" s="119"/>
      <c r="K321" s="119"/>
      <c r="L321" s="119"/>
      <c r="M321" s="119"/>
      <c r="N321" s="119"/>
      <c r="O321" s="119"/>
      <c r="P321" s="119"/>
      <c r="Q321" s="135">
        <f t="shared" si="65"/>
        <v>100</v>
      </c>
      <c r="R321" s="135"/>
      <c r="S321" s="100"/>
      <c r="T321" s="112"/>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row>
    <row r="322" spans="1:41" ht="15.75" customHeight="1">
      <c r="A322" s="102" t="s">
        <v>217</v>
      </c>
      <c r="B322" s="597">
        <f>('Pivot Table for Data Exchange'!$M$114)*100</f>
        <v>65.464662523486055</v>
      </c>
      <c r="C322" s="597">
        <f>('Pivot Table for Data Exchange'!$M$117)*100</f>
        <v>6.2581297875415522</v>
      </c>
      <c r="D322" s="603">
        <f t="shared" si="71"/>
        <v>28.158899923605805</v>
      </c>
      <c r="E322" s="597">
        <f>('Pivot Table for Data Exchange'!$M$120)*100</f>
        <v>19.453884748002395</v>
      </c>
      <c r="F322" s="597">
        <f>('Pivot Table for Data Exchange'!$M$123)*100</f>
        <v>1.0034480622715918</v>
      </c>
      <c r="G322" s="599">
        <f>('Pivot Table for Data Exchange'!$M$126)*100</f>
        <v>7.7015671133318193</v>
      </c>
      <c r="H322" s="597">
        <f>('Pivot Table for Data Exchange'!$M$129)*100</f>
        <v>0.11830776536658891</v>
      </c>
      <c r="I322" s="102"/>
      <c r="J322" s="119"/>
      <c r="K322" s="119"/>
      <c r="L322" s="119"/>
      <c r="M322" s="119"/>
      <c r="N322" s="119"/>
      <c r="O322" s="119"/>
      <c r="P322" s="119"/>
      <c r="Q322" s="135">
        <f t="shared" si="65"/>
        <v>100</v>
      </c>
      <c r="R322" s="135"/>
      <c r="S322" s="100"/>
      <c r="U322" s="100"/>
      <c r="V322" s="100"/>
      <c r="W322" s="100"/>
      <c r="X322" s="100"/>
      <c r="Y322" s="100"/>
      <c r="Z322" s="100"/>
      <c r="AA322" s="100"/>
      <c r="AB322" s="100"/>
      <c r="AC322" s="100"/>
      <c r="AD322" s="100"/>
      <c r="AE322" s="100"/>
      <c r="AF322" s="100"/>
      <c r="AG322" s="100"/>
      <c r="AH322" s="100"/>
      <c r="AI322" s="100"/>
      <c r="AJ322" s="100"/>
      <c r="AK322" s="100"/>
      <c r="AL322" s="100"/>
      <c r="AM322" s="100"/>
      <c r="AN322" s="100"/>
      <c r="AO322" s="100"/>
    </row>
    <row r="323" spans="1:41" ht="15.75" customHeight="1">
      <c r="A323" s="102"/>
      <c r="B323" s="597"/>
      <c r="C323" s="597"/>
      <c r="D323" s="603"/>
      <c r="E323" s="597"/>
      <c r="F323" s="597"/>
      <c r="G323" s="599"/>
      <c r="H323" s="597"/>
      <c r="I323" s="102"/>
      <c r="J323" s="119"/>
      <c r="K323" s="119"/>
      <c r="L323" s="119"/>
      <c r="M323" s="119"/>
      <c r="N323" s="119"/>
      <c r="O323" s="119"/>
      <c r="P323" s="119"/>
      <c r="Q323" s="135">
        <f t="shared" si="65"/>
        <v>0</v>
      </c>
      <c r="R323" s="135"/>
      <c r="S323" s="100"/>
      <c r="U323" s="100"/>
      <c r="V323" s="100"/>
      <c r="W323" s="100"/>
      <c r="X323" s="100"/>
      <c r="Y323" s="100"/>
      <c r="Z323" s="100"/>
      <c r="AA323" s="100"/>
      <c r="AB323" s="100"/>
      <c r="AC323" s="100"/>
      <c r="AD323" s="100"/>
      <c r="AE323" s="100"/>
      <c r="AF323" s="100"/>
      <c r="AG323" s="100"/>
      <c r="AH323" s="100"/>
      <c r="AI323" s="100"/>
      <c r="AJ323" s="100"/>
      <c r="AK323" s="100"/>
      <c r="AL323" s="100"/>
      <c r="AM323" s="100"/>
      <c r="AN323" s="100"/>
      <c r="AO323" s="100"/>
    </row>
    <row r="324" spans="1:41" ht="15.75" customHeight="1">
      <c r="A324" s="102" t="s">
        <v>179</v>
      </c>
      <c r="B324" s="597">
        <f>('Pivot Table for Data Exchange'!$M$150)*100</f>
        <v>0</v>
      </c>
      <c r="C324" s="597">
        <f>('Pivot Table for Data Exchange'!$M$153)*100</f>
        <v>0</v>
      </c>
      <c r="D324" s="603">
        <f t="shared" ref="D324:D327" si="72">SUM(E324:G324)</f>
        <v>0</v>
      </c>
      <c r="E324" s="597">
        <f>('Pivot Table for Data Exchange'!$M$156)*100</f>
        <v>0</v>
      </c>
      <c r="F324" s="597">
        <f>('Pivot Table for Data Exchange'!$M$159)*100</f>
        <v>0</v>
      </c>
      <c r="G324" s="599">
        <f>('Pivot Table for Data Exchange'!$M$162)*100</f>
        <v>0</v>
      </c>
      <c r="H324" s="597">
        <f>('Pivot Table for Data Exchange'!$M$165)*100</f>
        <v>0</v>
      </c>
      <c r="I324" s="102"/>
      <c r="J324" s="119"/>
      <c r="K324" s="119"/>
      <c r="L324" s="119"/>
      <c r="M324" s="119"/>
      <c r="N324" s="119"/>
      <c r="O324" s="119"/>
      <c r="P324" s="119"/>
      <c r="Q324" s="135">
        <f t="shared" si="65"/>
        <v>0</v>
      </c>
      <c r="R324" s="135"/>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c r="AN324" s="100"/>
      <c r="AO324" s="100"/>
    </row>
    <row r="325" spans="1:41" ht="15.75" customHeight="1">
      <c r="A325" s="102" t="s">
        <v>180</v>
      </c>
      <c r="B325" s="597">
        <f>('Pivot Table for Data Exchange'!$M$186)*100</f>
        <v>63.52082510856691</v>
      </c>
      <c r="C325" s="597">
        <f>('Pivot Table for Data Exchange'!$M$189)*100</f>
        <v>7.8434662455586261</v>
      </c>
      <c r="D325" s="603">
        <f t="shared" si="72"/>
        <v>28.635708645874452</v>
      </c>
      <c r="E325" s="597">
        <f>('Pivot Table for Data Exchange'!$M$192)*100</f>
        <v>27.369917094354516</v>
      </c>
      <c r="F325" s="597">
        <f>('Pivot Table for Data Exchange'!$M$195)*100</f>
        <v>1.2657915515199367</v>
      </c>
      <c r="G325" s="599">
        <f>('Pivot Table for Data Exchange'!$M$198)*100</f>
        <v>0</v>
      </c>
      <c r="H325" s="597">
        <f>('Pivot Table for Data Exchange'!$M$201)*100</f>
        <v>0</v>
      </c>
      <c r="I325" s="102"/>
      <c r="J325" s="119"/>
      <c r="K325" s="119"/>
      <c r="L325" s="119"/>
      <c r="M325" s="119"/>
      <c r="N325" s="119"/>
      <c r="O325" s="119"/>
      <c r="P325" s="119"/>
      <c r="Q325" s="135">
        <f t="shared" si="65"/>
        <v>100</v>
      </c>
      <c r="R325" s="135"/>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c r="AN325" s="100"/>
      <c r="AO325" s="100"/>
    </row>
    <row r="326" spans="1:41" ht="15.75" customHeight="1">
      <c r="A326" s="102" t="s">
        <v>181</v>
      </c>
      <c r="B326" s="597">
        <f>('Pivot Table for Data Exchange'!$M$222)*100</f>
        <v>0</v>
      </c>
      <c r="C326" s="597">
        <f>('Pivot Table for Data Exchange'!$M$225)*100</f>
        <v>0</v>
      </c>
      <c r="D326" s="603">
        <f t="shared" si="72"/>
        <v>0</v>
      </c>
      <c r="E326" s="597">
        <f>('Pivot Table for Data Exchange'!$M$228)*100</f>
        <v>0</v>
      </c>
      <c r="F326" s="597">
        <f>('Pivot Table for Data Exchange'!$M$231)*100</f>
        <v>0</v>
      </c>
      <c r="G326" s="599">
        <f>('Pivot Table for Data Exchange'!$M$234)*100</f>
        <v>0</v>
      </c>
      <c r="H326" s="597">
        <f>('Pivot Table for Data Exchange'!$M$237)*100</f>
        <v>0</v>
      </c>
      <c r="I326" s="102"/>
      <c r="J326" s="119"/>
      <c r="K326" s="119"/>
      <c r="L326" s="119"/>
      <c r="M326" s="119"/>
      <c r="N326" s="119"/>
      <c r="O326" s="119"/>
      <c r="P326" s="119"/>
      <c r="Q326" s="135">
        <f t="shared" si="65"/>
        <v>0</v>
      </c>
      <c r="R326" s="135"/>
      <c r="S326" s="100"/>
      <c r="T326" s="112"/>
      <c r="U326" s="100"/>
      <c r="V326" s="100"/>
      <c r="W326" s="100"/>
      <c r="X326" s="100"/>
      <c r="Y326" s="100"/>
      <c r="Z326" s="100"/>
      <c r="AA326" s="100"/>
      <c r="AB326" s="100"/>
      <c r="AC326" s="100"/>
      <c r="AD326" s="100"/>
      <c r="AE326" s="100"/>
      <c r="AF326" s="100"/>
      <c r="AG326" s="100"/>
      <c r="AH326" s="100"/>
      <c r="AI326" s="100"/>
      <c r="AJ326" s="100"/>
      <c r="AK326" s="100"/>
      <c r="AL326" s="100"/>
      <c r="AM326" s="100"/>
      <c r="AN326" s="100"/>
      <c r="AO326" s="100"/>
    </row>
    <row r="327" spans="1:41" ht="15.75" customHeight="1">
      <c r="A327" s="102" t="s">
        <v>222</v>
      </c>
      <c r="B327" s="597">
        <f>('Pivot Table for Data Exchange'!$M$258)*100</f>
        <v>81.886008188408837</v>
      </c>
      <c r="C327" s="597">
        <f>('Pivot Table for Data Exchange'!$M$261)*100</f>
        <v>4.1575613873531525</v>
      </c>
      <c r="D327" s="603">
        <f t="shared" si="72"/>
        <v>13.942031112113728</v>
      </c>
      <c r="E327" s="597">
        <f>('Pivot Table for Data Exchange'!$M$264)*100</f>
        <v>13.610435524337236</v>
      </c>
      <c r="F327" s="597">
        <f>('Pivot Table for Data Exchange'!$M$267)*100</f>
        <v>0.31143655080248739</v>
      </c>
      <c r="G327" s="105">
        <f>('Pivot Table for Data Exchange'!$M$270)*100</f>
        <v>2.0159036974005125E-2</v>
      </c>
      <c r="H327" s="104">
        <f>('Pivot Table for Data Exchange'!$M$273)*100</f>
        <v>1.4399312124289377E-2</v>
      </c>
      <c r="I327" s="102"/>
      <c r="J327" s="119"/>
      <c r="K327" s="119"/>
      <c r="L327" s="119"/>
      <c r="M327" s="119"/>
      <c r="N327" s="119"/>
      <c r="O327" s="119"/>
      <c r="P327" s="119"/>
      <c r="Q327" s="135">
        <f t="shared" si="65"/>
        <v>100</v>
      </c>
      <c r="R327" s="135"/>
      <c r="S327" s="100"/>
      <c r="U327" s="100"/>
      <c r="V327" s="100"/>
      <c r="W327" s="100"/>
      <c r="X327" s="100"/>
      <c r="Y327" s="100"/>
      <c r="Z327" s="100"/>
      <c r="AA327" s="100"/>
      <c r="AB327" s="100"/>
      <c r="AC327" s="100"/>
      <c r="AD327" s="100"/>
      <c r="AE327" s="100"/>
      <c r="AF327" s="100"/>
      <c r="AG327" s="100"/>
      <c r="AH327" s="100"/>
      <c r="AI327" s="100"/>
      <c r="AJ327" s="100"/>
      <c r="AK327" s="100"/>
      <c r="AL327" s="100"/>
      <c r="AM327" s="100"/>
      <c r="AN327" s="100"/>
      <c r="AO327" s="100"/>
    </row>
    <row r="328" spans="1:41" ht="12" customHeight="1">
      <c r="A328" s="102"/>
      <c r="B328" s="597"/>
      <c r="C328" s="597"/>
      <c r="D328" s="603"/>
      <c r="E328" s="597"/>
      <c r="F328" s="597"/>
      <c r="G328" s="599"/>
      <c r="H328" s="597"/>
      <c r="I328" s="102"/>
      <c r="J328" s="119"/>
      <c r="K328" s="119"/>
      <c r="L328" s="119"/>
      <c r="M328" s="119"/>
      <c r="N328" s="119"/>
      <c r="O328" s="119"/>
      <c r="P328" s="119"/>
      <c r="Q328" s="135">
        <f t="shared" si="65"/>
        <v>0</v>
      </c>
      <c r="R328" s="135"/>
      <c r="S328" s="100"/>
      <c r="U328" s="100"/>
      <c r="V328" s="100"/>
      <c r="W328" s="100"/>
      <c r="X328" s="100"/>
      <c r="Y328" s="100"/>
      <c r="Z328" s="100"/>
      <c r="AA328" s="100"/>
      <c r="AB328" s="100"/>
      <c r="AC328" s="100"/>
      <c r="AD328" s="100"/>
      <c r="AE328" s="100"/>
      <c r="AF328" s="100"/>
      <c r="AG328" s="100"/>
      <c r="AH328" s="100"/>
      <c r="AI328" s="100"/>
      <c r="AJ328" s="100"/>
      <c r="AK328" s="100"/>
      <c r="AL328" s="100"/>
      <c r="AM328" s="100"/>
      <c r="AN328" s="100"/>
      <c r="AO328" s="100"/>
    </row>
    <row r="329" spans="1:41" ht="15.75" customHeight="1">
      <c r="A329" s="102" t="s">
        <v>224</v>
      </c>
      <c r="B329" s="597">
        <f>('Pivot Table for Data Exchange'!$M$294)*100</f>
        <v>83.587410786165279</v>
      </c>
      <c r="C329" s="597">
        <f>('Pivot Table for Data Exchange'!$M$297)*100</f>
        <v>0</v>
      </c>
      <c r="D329" s="603">
        <f t="shared" ref="D329:D331" si="73">SUM(E329:G329)</f>
        <v>16.412589213834714</v>
      </c>
      <c r="E329" s="597">
        <f>('Pivot Table for Data Exchange'!$M$300)*100</f>
        <v>16.412589213834714</v>
      </c>
      <c r="F329" s="597">
        <f>('Pivot Table for Data Exchange'!$M$303)*100</f>
        <v>0</v>
      </c>
      <c r="G329" s="599">
        <f>('Pivot Table for Data Exchange'!$M$306)*100</f>
        <v>0</v>
      </c>
      <c r="H329" s="597">
        <f>('Pivot Table for Data Exchange'!$M$309)*100</f>
        <v>0</v>
      </c>
      <c r="I329" s="124"/>
      <c r="J329" s="119"/>
      <c r="K329" s="119"/>
      <c r="L329" s="119"/>
      <c r="M329" s="119"/>
      <c r="N329" s="119"/>
      <c r="O329" s="119"/>
      <c r="P329" s="119"/>
      <c r="Q329" s="135">
        <f t="shared" si="65"/>
        <v>100</v>
      </c>
      <c r="R329" s="135"/>
      <c r="S329" s="100"/>
      <c r="T329" s="100"/>
      <c r="U329" s="100"/>
      <c r="V329" s="100"/>
      <c r="W329" s="100"/>
      <c r="X329" s="100"/>
      <c r="Y329" s="100"/>
      <c r="Z329" s="100"/>
      <c r="AA329" s="100"/>
      <c r="AB329" s="100"/>
      <c r="AC329" s="100"/>
      <c r="AD329" s="100"/>
      <c r="AE329" s="100"/>
      <c r="AF329" s="100"/>
      <c r="AG329" s="100"/>
      <c r="AH329" s="100"/>
      <c r="AI329" s="100"/>
      <c r="AJ329" s="100"/>
      <c r="AK329" s="100"/>
      <c r="AL329" s="100"/>
      <c r="AM329" s="100"/>
      <c r="AN329" s="100"/>
      <c r="AO329" s="100"/>
    </row>
    <row r="330" spans="1:41" ht="15.75" customHeight="1">
      <c r="A330" s="102" t="s">
        <v>184</v>
      </c>
      <c r="B330" s="597">
        <f>('Pivot Table for Data Exchange'!$M$330)*100</f>
        <v>71.772880231468733</v>
      </c>
      <c r="C330" s="597">
        <f>('Pivot Table for Data Exchange'!$M$333)*100</f>
        <v>4.8210280211358993</v>
      </c>
      <c r="D330" s="603">
        <f t="shared" si="73"/>
        <v>23.406091747395365</v>
      </c>
      <c r="E330" s="597">
        <f>('Pivot Table for Data Exchange'!$M$336)*100</f>
        <v>22.494810465709605</v>
      </c>
      <c r="F330" s="597">
        <f>('Pivot Table for Data Exchange'!$M$339)*100</f>
        <v>0.75500793582925896</v>
      </c>
      <c r="G330" s="599">
        <f>('Pivot Table for Data Exchange'!$M$342)*100</f>
        <v>0.15627334585650104</v>
      </c>
      <c r="H330" s="597">
        <f>('Pivot Table for Data Exchange'!$M$345)*100</f>
        <v>0</v>
      </c>
      <c r="I330" s="102"/>
      <c r="J330" s="119"/>
      <c r="K330" s="119"/>
      <c r="L330" s="119"/>
      <c r="M330" s="119"/>
      <c r="N330" s="119"/>
      <c r="O330" s="119"/>
      <c r="P330" s="119"/>
      <c r="Q330" s="135">
        <f t="shared" si="65"/>
        <v>100</v>
      </c>
      <c r="R330" s="135"/>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row>
    <row r="331" spans="1:41" ht="15.75" customHeight="1">
      <c r="A331" s="102" t="s">
        <v>185</v>
      </c>
      <c r="B331" s="597">
        <f>('Pivot Table for Data Exchange'!$M$366)*100</f>
        <v>70.104174073810711</v>
      </c>
      <c r="C331" s="597">
        <f>('Pivot Table for Data Exchange'!$M$369)*100</f>
        <v>8.0388252862120453</v>
      </c>
      <c r="D331" s="603">
        <f t="shared" si="73"/>
        <v>21.782336628031004</v>
      </c>
      <c r="E331" s="597">
        <f>('Pivot Table for Data Exchange'!$M$372)*100</f>
        <v>7.9419398421389467</v>
      </c>
      <c r="F331" s="597">
        <f>('Pivot Table for Data Exchange'!$M$375)*100</f>
        <v>13.517741591410084</v>
      </c>
      <c r="G331" s="599">
        <f>('Pivot Table for Data Exchange'!$M$378)*100</f>
        <v>0.32265519448197394</v>
      </c>
      <c r="H331" s="597">
        <f>('Pivot Table for Data Exchange'!$M$381)*100</f>
        <v>7.4664011946241921E-2</v>
      </c>
      <c r="I331" s="102"/>
      <c r="J331" s="119"/>
      <c r="K331" s="119"/>
      <c r="L331" s="119"/>
      <c r="M331" s="119"/>
      <c r="N331" s="119"/>
      <c r="O331" s="119"/>
      <c r="P331" s="119"/>
      <c r="Q331" s="135">
        <f t="shared" ref="Q331:Q394" si="74">SUM(B331,C331,D331,H331)</f>
        <v>100</v>
      </c>
      <c r="R331" s="135"/>
      <c r="S331" s="100"/>
      <c r="T331" s="112"/>
      <c r="U331" s="100"/>
      <c r="V331" s="100"/>
      <c r="W331" s="100"/>
      <c r="X331" s="100"/>
      <c r="Y331" s="100"/>
      <c r="Z331" s="100"/>
      <c r="AA331" s="100"/>
      <c r="AB331" s="100"/>
      <c r="AC331" s="100"/>
      <c r="AD331" s="100"/>
      <c r="AE331" s="100"/>
      <c r="AF331" s="100"/>
      <c r="AG331" s="100"/>
      <c r="AH331" s="100"/>
      <c r="AI331" s="100"/>
      <c r="AJ331" s="100"/>
      <c r="AK331" s="100"/>
      <c r="AL331" s="100"/>
      <c r="AM331" s="100"/>
      <c r="AN331" s="100"/>
      <c r="AO331" s="100"/>
    </row>
    <row r="332" spans="1:41" ht="15.75" customHeight="1">
      <c r="A332" s="102" t="s">
        <v>186</v>
      </c>
      <c r="B332" s="597">
        <f>('Pivot Table for Data Exchange'!$M$402)*100</f>
        <v>69.371130336913581</v>
      </c>
      <c r="C332" s="597">
        <f>('Pivot Table for Data Exchange'!$M$405)*100</f>
        <v>7.9978535936743267</v>
      </c>
      <c r="D332" s="603">
        <f>SUM(E332:G332)</f>
        <v>22.631016069412091</v>
      </c>
      <c r="E332" s="597">
        <f>('Pivot Table for Data Exchange'!$M$408)*100</f>
        <v>18.82126934286849</v>
      </c>
      <c r="F332" s="597">
        <f>('Pivot Table for Data Exchange'!$M$411)*100</f>
        <v>3.7624361462793341</v>
      </c>
      <c r="G332" s="105">
        <f>('Pivot Table for Data Exchange'!$M$414)*100</f>
        <v>4.731058026426694E-2</v>
      </c>
      <c r="H332" s="597">
        <f>('Pivot Table for Data Exchange'!$M$417)*100</f>
        <v>0</v>
      </c>
      <c r="I332" s="102"/>
      <c r="J332" s="119"/>
      <c r="K332" s="119"/>
      <c r="L332" s="119"/>
      <c r="M332" s="119"/>
      <c r="N332" s="119"/>
      <c r="O332" s="119"/>
      <c r="P332" s="119"/>
      <c r="Q332" s="135">
        <f t="shared" si="74"/>
        <v>100</v>
      </c>
      <c r="R332" s="135"/>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row>
    <row r="333" spans="1:41" ht="12.75" customHeight="1">
      <c r="A333" s="102"/>
      <c r="B333" s="597"/>
      <c r="C333" s="597"/>
      <c r="D333" s="603"/>
      <c r="E333" s="597"/>
      <c r="F333" s="597"/>
      <c r="G333" s="599"/>
      <c r="H333" s="597"/>
      <c r="I333" s="102"/>
      <c r="J333" s="119"/>
      <c r="K333" s="119"/>
      <c r="L333" s="119"/>
      <c r="M333" s="119"/>
      <c r="N333" s="119"/>
      <c r="O333" s="119"/>
      <c r="P333" s="119"/>
      <c r="Q333" s="135">
        <f t="shared" si="74"/>
        <v>0</v>
      </c>
      <c r="R333" s="135"/>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row>
    <row r="334" spans="1:41" ht="15.75" customHeight="1">
      <c r="A334" s="102" t="s">
        <v>187</v>
      </c>
      <c r="B334" s="597">
        <f>('Pivot Table for Data Exchange'!$M$438)*100</f>
        <v>56.62538336081122</v>
      </c>
      <c r="C334" s="597">
        <f>('Pivot Table for Data Exchange'!$M$441)*100</f>
        <v>18.737258238933503</v>
      </c>
      <c r="D334" s="603">
        <f>SUM(E334:G334)</f>
        <v>24.382412381003032</v>
      </c>
      <c r="E334" s="597">
        <f>('Pivot Table for Data Exchange'!$M$444)*100</f>
        <v>13.850515875126309</v>
      </c>
      <c r="F334" s="597">
        <f>('Pivot Table for Data Exchange'!$M$447)*100</f>
        <v>3.8153264549983157</v>
      </c>
      <c r="G334" s="599">
        <f>('Pivot Table for Data Exchange'!$M$450)*100</f>
        <v>6.7165700508784063</v>
      </c>
      <c r="H334" s="597">
        <f>('Pivot Table for Data Exchange'!$M$453)*100</f>
        <v>0.25494601925224697</v>
      </c>
      <c r="I334" s="102"/>
      <c r="J334" s="119"/>
      <c r="K334" s="119"/>
      <c r="L334" s="119"/>
      <c r="M334" s="119"/>
      <c r="N334" s="119"/>
      <c r="O334" s="119"/>
      <c r="P334" s="119"/>
      <c r="Q334" s="135">
        <f t="shared" si="74"/>
        <v>100</v>
      </c>
      <c r="R334" s="135"/>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row>
    <row r="335" spans="1:41" ht="15.75" customHeight="1">
      <c r="A335" s="102" t="s">
        <v>188</v>
      </c>
      <c r="B335" s="597">
        <f>('Pivot Table for Data Exchange'!$M$474)*100</f>
        <v>59.827810419435636</v>
      </c>
      <c r="C335" s="597">
        <f>('Pivot Table for Data Exchange'!$M$477)*100</f>
        <v>20.876389261497565</v>
      </c>
      <c r="D335" s="603">
        <f>SUM(E335:G335)</f>
        <v>19.295800319066803</v>
      </c>
      <c r="E335" s="597">
        <f>('Pivot Table for Data Exchange'!$M$480)*100</f>
        <v>16.646767656702146</v>
      </c>
      <c r="F335" s="597">
        <f>('Pivot Table for Data Exchange'!$M$483)*100</f>
        <v>2.3087493523435434</v>
      </c>
      <c r="G335" s="599">
        <f>('Pivot Table for Data Exchange'!$M$486)*100</f>
        <v>0.34028331002111412</v>
      </c>
      <c r="H335" s="597">
        <f>('Pivot Table for Data Exchange'!$M$489)*100</f>
        <v>0</v>
      </c>
      <c r="I335" s="102"/>
      <c r="J335" s="119"/>
      <c r="K335" s="119"/>
      <c r="L335" s="119"/>
      <c r="M335" s="119"/>
      <c r="N335" s="119"/>
      <c r="O335" s="119"/>
      <c r="P335" s="119"/>
      <c r="Q335" s="135">
        <f t="shared" si="74"/>
        <v>100</v>
      </c>
      <c r="R335" s="135"/>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row>
    <row r="336" spans="1:41" ht="15.75" customHeight="1">
      <c r="A336" s="102" t="s">
        <v>189</v>
      </c>
      <c r="B336" s="597">
        <f>('Pivot Table for Data Exchange'!$M$510)*100</f>
        <v>55.557131886020692</v>
      </c>
      <c r="C336" s="597">
        <f>('Pivot Table for Data Exchange'!$M$513)*100</f>
        <v>20.528913560069167</v>
      </c>
      <c r="D336" s="603">
        <f t="shared" ref="D336" si="75">SUM(E336:G336)</f>
        <v>23.913954553910138</v>
      </c>
      <c r="E336" s="597">
        <f>('Pivot Table for Data Exchange'!$M$516)*100</f>
        <v>20.855937791565843</v>
      </c>
      <c r="F336" s="597">
        <f>('Pivot Table for Data Exchange'!$M$519)*100</f>
        <v>3.0580167623442964</v>
      </c>
      <c r="G336" s="599">
        <f>('Pivot Table for Data Exchange'!$M$522)*100</f>
        <v>0</v>
      </c>
      <c r="H336" s="597">
        <f>('Pivot Table for Data Exchange'!$M$525)*100</f>
        <v>0</v>
      </c>
      <c r="I336" s="102"/>
      <c r="J336" s="119"/>
      <c r="K336" s="119"/>
      <c r="L336" s="119"/>
      <c r="M336" s="119"/>
      <c r="N336" s="119"/>
      <c r="O336" s="119"/>
      <c r="P336" s="119"/>
      <c r="Q336" s="135">
        <f t="shared" si="74"/>
        <v>100</v>
      </c>
      <c r="R336" s="135"/>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row>
    <row r="337" spans="1:41" ht="15.75" customHeight="1">
      <c r="A337" s="76" t="s">
        <v>190</v>
      </c>
      <c r="B337" s="600">
        <f>('Pivot Table for Data Exchange'!$M$546)*100</f>
        <v>84.232906373098899</v>
      </c>
      <c r="C337" s="600">
        <f>('Pivot Table for Data Exchange'!$M$549)*100</f>
        <v>0</v>
      </c>
      <c r="D337" s="604">
        <f>SUM(E337:G337)</f>
        <v>15.767093626901103</v>
      </c>
      <c r="E337" s="600">
        <f>('Pivot Table for Data Exchange'!$M$552)*100</f>
        <v>12.481412881851146</v>
      </c>
      <c r="F337" s="600">
        <f>('Pivot Table for Data Exchange'!$M$555)*100</f>
        <v>3.285680745049957</v>
      </c>
      <c r="G337" s="601">
        <f>('Pivot Table for Data Exchange'!$M$558)*100</f>
        <v>0</v>
      </c>
      <c r="H337" s="600">
        <f>('Pivot Table for Data Exchange'!$M$561)*100</f>
        <v>0</v>
      </c>
      <c r="I337" s="102"/>
      <c r="J337" s="119"/>
      <c r="K337" s="119"/>
      <c r="L337" s="119"/>
      <c r="M337" s="119"/>
      <c r="N337" s="119"/>
      <c r="O337" s="119"/>
      <c r="P337" s="119"/>
      <c r="Q337" s="135">
        <f t="shared" si="74"/>
        <v>100</v>
      </c>
      <c r="R337" s="135"/>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c r="AN337" s="100"/>
      <c r="AO337" s="100"/>
    </row>
    <row r="338" spans="1:41" s="45" customFormat="1" ht="21" customHeight="1">
      <c r="A338" s="43" t="s">
        <v>219</v>
      </c>
      <c r="B338" s="106"/>
      <c r="C338" s="106"/>
      <c r="D338" s="107"/>
      <c r="E338" s="106"/>
      <c r="F338" s="107"/>
      <c r="G338" s="107"/>
      <c r="H338" s="106"/>
      <c r="I338" s="43"/>
      <c r="J338" s="106"/>
      <c r="K338" s="106"/>
      <c r="L338" s="107"/>
      <c r="M338" s="106"/>
      <c r="N338" s="107"/>
      <c r="O338" s="107"/>
      <c r="P338" s="106"/>
      <c r="Q338" s="135">
        <f t="shared" si="74"/>
        <v>0</v>
      </c>
      <c r="R338" s="139"/>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row>
    <row r="339" spans="1:41" s="45" customFormat="1" ht="35.25" customHeight="1">
      <c r="A339" s="655" t="s">
        <v>225</v>
      </c>
      <c r="B339" s="662"/>
      <c r="C339" s="662"/>
      <c r="D339" s="662"/>
      <c r="E339" s="662"/>
      <c r="F339" s="662"/>
      <c r="G339" s="662"/>
      <c r="H339" s="662"/>
      <c r="I339" s="43"/>
      <c r="P339" s="115"/>
      <c r="Q339" s="135">
        <f t="shared" si="74"/>
        <v>0</v>
      </c>
      <c r="R339" s="144"/>
    </row>
    <row r="340" spans="1:41" s="45" customFormat="1">
      <c r="H340" s="49" t="s">
        <v>900</v>
      </c>
      <c r="I340" s="47"/>
      <c r="J340" s="47"/>
      <c r="K340" s="47"/>
      <c r="L340" s="47"/>
      <c r="M340" s="47"/>
      <c r="N340" s="47"/>
      <c r="O340" s="47"/>
      <c r="P340" s="47"/>
      <c r="Q340" s="135">
        <f t="shared" si="74"/>
        <v>0</v>
      </c>
      <c r="R340" s="143"/>
    </row>
    <row r="341" spans="1:41" ht="18">
      <c r="A341" s="16" t="s">
        <v>276</v>
      </c>
      <c r="B341" s="71"/>
      <c r="C341" s="71"/>
      <c r="D341" s="71"/>
      <c r="E341" s="71"/>
      <c r="F341" s="71"/>
      <c r="G341" s="71"/>
      <c r="H341" s="72"/>
      <c r="I341" s="118"/>
      <c r="J341" s="102"/>
      <c r="K341" s="102"/>
      <c r="L341" s="72"/>
      <c r="M341" s="102"/>
      <c r="N341" s="102"/>
      <c r="O341" s="102"/>
      <c r="P341" s="102"/>
      <c r="Q341" s="135">
        <f t="shared" si="74"/>
        <v>0</v>
      </c>
    </row>
    <row r="342" spans="1:41">
      <c r="A342" s="22"/>
      <c r="B342" s="23"/>
      <c r="C342" s="23"/>
      <c r="D342" s="23"/>
      <c r="E342" s="23"/>
      <c r="F342" s="23"/>
      <c r="G342" s="23"/>
      <c r="H342" s="73"/>
      <c r="I342" s="118"/>
      <c r="J342" s="102"/>
      <c r="K342" s="102"/>
      <c r="L342" s="102"/>
      <c r="M342" s="102"/>
      <c r="N342" s="102"/>
      <c r="O342" s="102"/>
      <c r="P342" s="102"/>
      <c r="Q342" s="135">
        <f t="shared" si="74"/>
        <v>0</v>
      </c>
    </row>
    <row r="343" spans="1:41" ht="15.75">
      <c r="A343" s="74" t="s">
        <v>205</v>
      </c>
      <c r="B343" s="23"/>
      <c r="C343" s="23"/>
      <c r="D343" s="23"/>
      <c r="E343" s="23"/>
      <c r="F343" s="23"/>
      <c r="G343" s="23"/>
      <c r="H343" s="73"/>
      <c r="I343" s="118"/>
      <c r="J343" s="102"/>
      <c r="K343" s="102"/>
      <c r="L343" s="73"/>
      <c r="M343" s="102"/>
      <c r="N343" s="102"/>
      <c r="O343" s="102"/>
      <c r="P343" s="102"/>
      <c r="Q343" s="135">
        <f t="shared" si="74"/>
        <v>0</v>
      </c>
    </row>
    <row r="344" spans="1:41" ht="15.75">
      <c r="A344" s="74" t="s">
        <v>250</v>
      </c>
      <c r="B344" s="23"/>
      <c r="C344" s="23"/>
      <c r="D344" s="23"/>
      <c r="E344" s="23"/>
      <c r="F344" s="23"/>
      <c r="G344" s="23"/>
      <c r="H344" s="73"/>
      <c r="I344" s="118"/>
      <c r="J344" s="102"/>
      <c r="K344" s="102"/>
      <c r="L344" s="102"/>
      <c r="M344" s="102"/>
      <c r="N344" s="102"/>
      <c r="O344" s="102"/>
      <c r="P344" s="102"/>
      <c r="Q344" s="135">
        <f t="shared" si="74"/>
        <v>0</v>
      </c>
    </row>
    <row r="345" spans="1:41">
      <c r="A345" s="76"/>
      <c r="B345" s="77"/>
      <c r="C345" s="77"/>
      <c r="D345" s="77"/>
      <c r="E345" s="77"/>
      <c r="F345" s="77"/>
      <c r="G345" s="77"/>
      <c r="H345" s="77"/>
      <c r="I345" s="118"/>
      <c r="J345" s="102"/>
      <c r="K345" s="102"/>
      <c r="L345" s="102"/>
      <c r="M345" s="102"/>
      <c r="N345" s="102"/>
      <c r="O345" s="102"/>
      <c r="P345" s="102"/>
      <c r="Q345" s="135">
        <f t="shared" si="74"/>
        <v>0</v>
      </c>
    </row>
    <row r="346" spans="1:41">
      <c r="A346" s="80"/>
      <c r="B346" s="81" t="s">
        <v>207</v>
      </c>
      <c r="C346" s="81"/>
      <c r="D346" s="81"/>
      <c r="E346" s="81"/>
      <c r="F346" s="81"/>
      <c r="G346" s="81"/>
      <c r="H346" s="82"/>
      <c r="I346" s="118"/>
      <c r="J346" s="102"/>
      <c r="K346" s="102"/>
      <c r="L346" s="102"/>
      <c r="M346" s="102"/>
      <c r="N346" s="102"/>
      <c r="O346" s="102"/>
      <c r="P346" s="102"/>
      <c r="Q346" s="135">
        <f t="shared" si="74"/>
        <v>0</v>
      </c>
    </row>
    <row r="347" spans="1:41">
      <c r="A347" s="80"/>
      <c r="B347" s="81" t="s">
        <v>208</v>
      </c>
      <c r="C347" s="81"/>
      <c r="D347" s="653" t="s">
        <v>209</v>
      </c>
      <c r="E347" s="654"/>
      <c r="F347" s="654"/>
      <c r="G347" s="654"/>
      <c r="H347" s="86" t="s">
        <v>39</v>
      </c>
      <c r="I347" s="118"/>
      <c r="J347" s="102"/>
      <c r="K347" s="102"/>
      <c r="L347" s="102"/>
      <c r="M347" s="102"/>
      <c r="N347" s="102"/>
      <c r="O347" s="102"/>
      <c r="P347" s="102"/>
      <c r="Q347" s="135">
        <f t="shared" si="74"/>
        <v>0</v>
      </c>
    </row>
    <row r="348" spans="1:41" ht="36">
      <c r="A348" s="80"/>
      <c r="B348" s="87" t="s">
        <v>210</v>
      </c>
      <c r="C348" s="88" t="s">
        <v>211</v>
      </c>
      <c r="D348" s="89" t="s">
        <v>212</v>
      </c>
      <c r="E348" s="90" t="s">
        <v>7</v>
      </c>
      <c r="F348" s="87" t="s">
        <v>213</v>
      </c>
      <c r="G348" s="91" t="s">
        <v>214</v>
      </c>
      <c r="H348" s="92" t="s">
        <v>215</v>
      </c>
      <c r="I348" s="118"/>
      <c r="J348" s="102"/>
      <c r="K348" s="102"/>
      <c r="L348" s="102"/>
      <c r="M348" s="102"/>
      <c r="N348" s="102"/>
      <c r="O348" s="102"/>
      <c r="P348" s="102"/>
      <c r="Q348" s="135">
        <f t="shared" si="74"/>
        <v>0</v>
      </c>
    </row>
    <row r="349" spans="1:41" ht="15.75" customHeight="1">
      <c r="A349" s="99" t="s">
        <v>175</v>
      </c>
      <c r="B349" s="597">
        <f>('Pivot Table for Data Exchange'!$N$6)*100</f>
        <v>62.637655417406748</v>
      </c>
      <c r="C349" s="597">
        <f>('Pivot Table for Data Exchange'!$N$9)*100</f>
        <v>15.213143872113676</v>
      </c>
      <c r="D349" s="603">
        <f>SUM(E349:G349)</f>
        <v>22.149200710479576</v>
      </c>
      <c r="E349" s="597">
        <f>('Pivot Table for Data Exchange'!$N$12)*100</f>
        <v>21.666552807760624</v>
      </c>
      <c r="F349" s="597">
        <f>('Pivot Table for Data Exchange'!$N$15)*100</f>
        <v>0.23910370269162451</v>
      </c>
      <c r="G349" s="97">
        <f>('Pivot Table for Data Exchange'!$N$18)*100</f>
        <v>0.24354420002732613</v>
      </c>
      <c r="H349" s="597">
        <f>('Pivot Table for Data Exchange'!$N$21)*100</f>
        <v>0</v>
      </c>
      <c r="I349" s="102"/>
      <c r="J349" s="119"/>
      <c r="K349" s="119"/>
      <c r="L349" s="119"/>
      <c r="M349" s="119"/>
      <c r="N349" s="119"/>
      <c r="O349" s="119"/>
      <c r="P349" s="119"/>
      <c r="Q349" s="135">
        <f t="shared" si="74"/>
        <v>100</v>
      </c>
      <c r="R349" s="135"/>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row>
    <row r="350" spans="1:41" ht="15.75" customHeight="1">
      <c r="A350" s="102" t="s">
        <v>176</v>
      </c>
      <c r="B350" s="597">
        <f>('Pivot Table for Data Exchange'!$N$42)*100</f>
        <v>71.174776617504577</v>
      </c>
      <c r="C350" s="597">
        <f>('Pivot Table for Data Exchange'!$N$45)*100</f>
        <v>11.19173215631392</v>
      </c>
      <c r="D350" s="603">
        <f t="shared" ref="D350:D352" si="76">SUM(E350:G350)</f>
        <v>17.633491226181505</v>
      </c>
      <c r="E350" s="597">
        <f>('Pivot Table for Data Exchange'!$N$48)*100</f>
        <v>14.415168478845947</v>
      </c>
      <c r="F350" s="597">
        <f>('Pivot Table for Data Exchange'!$N$51)*100</f>
        <v>3.1709548928840565</v>
      </c>
      <c r="G350" s="105">
        <f>('Pivot Table for Data Exchange'!$N$54)*100</f>
        <v>4.7367854451501774E-2</v>
      </c>
      <c r="H350" s="597">
        <f>('Pivot Table for Data Exchange'!$N$57)*100</f>
        <v>0</v>
      </c>
      <c r="I350" s="102"/>
      <c r="J350" s="119"/>
      <c r="K350" s="119"/>
      <c r="L350" s="119"/>
      <c r="M350" s="119"/>
      <c r="N350" s="119"/>
      <c r="O350" s="119"/>
      <c r="P350" s="119"/>
      <c r="Q350" s="135">
        <f t="shared" si="74"/>
        <v>100</v>
      </c>
      <c r="R350" s="135"/>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row>
    <row r="351" spans="1:41" ht="15.75" customHeight="1">
      <c r="A351" s="102" t="s">
        <v>177</v>
      </c>
      <c r="B351" s="597">
        <f>('Pivot Table for Data Exchange'!$N$78)*100</f>
        <v>0</v>
      </c>
      <c r="C351" s="597">
        <f>('Pivot Table for Data Exchange'!$N$81)*100</f>
        <v>0</v>
      </c>
      <c r="D351" s="603">
        <f t="shared" si="76"/>
        <v>0</v>
      </c>
      <c r="E351" s="597">
        <f>('Pivot Table for Data Exchange'!$N$84)*100</f>
        <v>0</v>
      </c>
      <c r="F351" s="597">
        <f>('Pivot Table for Data Exchange'!$N$87)*100</f>
        <v>0</v>
      </c>
      <c r="G351" s="599">
        <f>('Pivot Table for Data Exchange'!$N$90)*100</f>
        <v>0</v>
      </c>
      <c r="H351" s="597">
        <f>('Pivot Table for Data Exchange'!$N$93)*100</f>
        <v>0</v>
      </c>
      <c r="I351" s="102"/>
      <c r="J351" s="119"/>
      <c r="K351" s="119"/>
      <c r="L351" s="119"/>
      <c r="M351" s="119"/>
      <c r="N351" s="119"/>
      <c r="O351" s="119"/>
      <c r="P351" s="119"/>
      <c r="Q351" s="135">
        <f t="shared" si="74"/>
        <v>0</v>
      </c>
      <c r="R351" s="135"/>
      <c r="S351" s="100"/>
      <c r="T351" s="112"/>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row>
    <row r="352" spans="1:41" ht="15.75" customHeight="1">
      <c r="A352" s="102" t="s">
        <v>217</v>
      </c>
      <c r="B352" s="597">
        <f>('Pivot Table for Data Exchange'!$N$114)*100</f>
        <v>66.1878749888063</v>
      </c>
      <c r="C352" s="597">
        <f>('Pivot Table for Data Exchange'!$N$117)*100</f>
        <v>5.467896480702068</v>
      </c>
      <c r="D352" s="603">
        <f t="shared" si="76"/>
        <v>28.344228530491627</v>
      </c>
      <c r="E352" s="597">
        <f>('Pivot Table for Data Exchange'!$N$120)*100</f>
        <v>14.524939554043161</v>
      </c>
      <c r="F352" s="597">
        <f>('Pivot Table for Data Exchange'!$N$123)*100</f>
        <v>0.19700904450613413</v>
      </c>
      <c r="G352" s="599">
        <f>('Pivot Table for Data Exchange'!$N$126)*100</f>
        <v>13.62227993194233</v>
      </c>
      <c r="H352" s="597">
        <f>('Pivot Table for Data Exchange'!$N$129)*100</f>
        <v>0</v>
      </c>
      <c r="I352" s="102"/>
      <c r="J352" s="119"/>
      <c r="K352" s="119"/>
      <c r="L352" s="119"/>
      <c r="M352" s="119"/>
      <c r="N352" s="119"/>
      <c r="O352" s="119"/>
      <c r="P352" s="119"/>
      <c r="Q352" s="135">
        <f t="shared" si="74"/>
        <v>100</v>
      </c>
      <c r="R352" s="135"/>
      <c r="S352" s="100"/>
      <c r="U352" s="100"/>
      <c r="V352" s="100"/>
      <c r="W352" s="100"/>
      <c r="X352" s="100"/>
      <c r="Y352" s="100"/>
      <c r="Z352" s="100"/>
      <c r="AA352" s="100"/>
      <c r="AB352" s="100"/>
      <c r="AC352" s="100"/>
      <c r="AD352" s="100"/>
      <c r="AE352" s="100"/>
      <c r="AF352" s="100"/>
      <c r="AG352" s="100"/>
      <c r="AH352" s="100"/>
      <c r="AI352" s="100"/>
      <c r="AJ352" s="100"/>
      <c r="AK352" s="100"/>
      <c r="AL352" s="100"/>
      <c r="AM352" s="100"/>
      <c r="AN352" s="100"/>
      <c r="AO352" s="100"/>
    </row>
    <row r="353" spans="1:41" ht="15.75" customHeight="1">
      <c r="A353" s="102"/>
      <c r="B353" s="597"/>
      <c r="C353" s="597"/>
      <c r="D353" s="603"/>
      <c r="E353" s="597"/>
      <c r="F353" s="597"/>
      <c r="G353" s="599"/>
      <c r="H353" s="597"/>
      <c r="I353" s="102"/>
      <c r="J353" s="119"/>
      <c r="K353" s="119"/>
      <c r="L353" s="119"/>
      <c r="M353" s="119"/>
      <c r="N353" s="119"/>
      <c r="O353" s="119"/>
      <c r="P353" s="119"/>
      <c r="Q353" s="135">
        <f t="shared" si="74"/>
        <v>0</v>
      </c>
      <c r="R353" s="135"/>
      <c r="S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row>
    <row r="354" spans="1:41" ht="15.75" customHeight="1">
      <c r="A354" s="102" t="s">
        <v>179</v>
      </c>
      <c r="B354" s="597">
        <f>('Pivot Table for Data Exchange'!$N$150)*100</f>
        <v>0</v>
      </c>
      <c r="C354" s="597">
        <f>('Pivot Table for Data Exchange'!$N$153)*100</f>
        <v>0</v>
      </c>
      <c r="D354" s="603">
        <f t="shared" ref="D354:D357" si="77">SUM(E354:G354)</f>
        <v>0</v>
      </c>
      <c r="E354" s="597">
        <f>('Pivot Table for Data Exchange'!$N$156)*100</f>
        <v>0</v>
      </c>
      <c r="F354" s="597">
        <f>('Pivot Table for Data Exchange'!$N$159)*100</f>
        <v>0</v>
      </c>
      <c r="G354" s="599">
        <f>('Pivot Table for Data Exchange'!$N$162)*100</f>
        <v>0</v>
      </c>
      <c r="H354" s="597">
        <f>('Pivot Table for Data Exchange'!$N$165)*100</f>
        <v>0</v>
      </c>
      <c r="I354" s="102"/>
      <c r="J354" s="119"/>
      <c r="K354" s="119"/>
      <c r="L354" s="119"/>
      <c r="M354" s="119"/>
      <c r="N354" s="119"/>
      <c r="O354" s="119"/>
      <c r="P354" s="119"/>
      <c r="Q354" s="135">
        <f t="shared" si="74"/>
        <v>0</v>
      </c>
      <c r="R354" s="135"/>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c r="AN354" s="100"/>
      <c r="AO354" s="100"/>
    </row>
    <row r="355" spans="1:41" ht="15.75" customHeight="1">
      <c r="A355" s="102" t="s">
        <v>180</v>
      </c>
      <c r="B355" s="597">
        <f>('Pivot Table for Data Exchange'!$N$186)*100</f>
        <v>67.444937755723871</v>
      </c>
      <c r="C355" s="597">
        <f>('Pivot Table for Data Exchange'!$N$189)*100</f>
        <v>1.1099503786889529</v>
      </c>
      <c r="D355" s="603">
        <f t="shared" si="77"/>
        <v>31.445111865587187</v>
      </c>
      <c r="E355" s="597">
        <f>('Pivot Table for Data Exchange'!$N$192)*100</f>
        <v>29.597806215722123</v>
      </c>
      <c r="F355" s="597">
        <f>('Pivot Table for Data Exchange'!$N$195)*100</f>
        <v>1.8473056498650651</v>
      </c>
      <c r="G355" s="599">
        <f>('Pivot Table for Data Exchange'!$N$198)*100</f>
        <v>0</v>
      </c>
      <c r="H355" s="597">
        <f>('Pivot Table for Data Exchange'!$N$201)*100</f>
        <v>0</v>
      </c>
      <c r="I355" s="102"/>
      <c r="J355" s="119"/>
      <c r="K355" s="119"/>
      <c r="L355" s="119"/>
      <c r="M355" s="119"/>
      <c r="N355" s="119"/>
      <c r="O355" s="119"/>
      <c r="P355" s="119"/>
      <c r="Q355" s="135">
        <f t="shared" si="74"/>
        <v>100</v>
      </c>
      <c r="R355" s="135"/>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row>
    <row r="356" spans="1:41" ht="15.75" customHeight="1">
      <c r="A356" s="102" t="s">
        <v>181</v>
      </c>
      <c r="B356" s="597">
        <f>('Pivot Table for Data Exchange'!$N$222)*100</f>
        <v>0</v>
      </c>
      <c r="C356" s="597">
        <f>('Pivot Table for Data Exchange'!$N$225)*100</f>
        <v>0</v>
      </c>
      <c r="D356" s="603">
        <f t="shared" si="77"/>
        <v>0</v>
      </c>
      <c r="E356" s="597">
        <f>('Pivot Table for Data Exchange'!$N$228)*100</f>
        <v>0</v>
      </c>
      <c r="F356" s="597">
        <f>('Pivot Table for Data Exchange'!$N$231)*100</f>
        <v>0</v>
      </c>
      <c r="G356" s="599">
        <f>('Pivot Table for Data Exchange'!$N$234)*100</f>
        <v>0</v>
      </c>
      <c r="H356" s="597">
        <f>('Pivot Table for Data Exchange'!$N$237)*100</f>
        <v>0</v>
      </c>
      <c r="I356" s="102"/>
      <c r="J356" s="119"/>
      <c r="K356" s="119"/>
      <c r="L356" s="119"/>
      <c r="M356" s="119"/>
      <c r="N356" s="119"/>
      <c r="O356" s="119"/>
      <c r="P356" s="119"/>
      <c r="Q356" s="135">
        <f t="shared" si="74"/>
        <v>0</v>
      </c>
      <c r="R356" s="135"/>
      <c r="S356" s="100"/>
      <c r="T356" s="112"/>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row>
    <row r="357" spans="1:41" ht="15.75" customHeight="1">
      <c r="A357" s="102" t="s">
        <v>222</v>
      </c>
      <c r="B357" s="597">
        <f>('Pivot Table for Data Exchange'!$N$258)*100</f>
        <v>76.565617362934574</v>
      </c>
      <c r="C357" s="597">
        <f>('Pivot Table for Data Exchange'!$N$261)*100</f>
        <v>9.4002736962537572</v>
      </c>
      <c r="D357" s="603">
        <f t="shared" si="77"/>
        <v>14.009852256579121</v>
      </c>
      <c r="E357" s="597">
        <f>('Pivot Table for Data Exchange'!$N$264)*100</f>
        <v>12.979751732836881</v>
      </c>
      <c r="F357" s="597">
        <f>('Pivot Table for Data Exchange'!$N$267)*100</f>
        <v>1.0301005237422403</v>
      </c>
      <c r="G357" s="599">
        <f>('Pivot Table for Data Exchange'!$N$270)*100</f>
        <v>0</v>
      </c>
      <c r="H357" s="104">
        <f>('Pivot Table for Data Exchange'!$N$273)*100</f>
        <v>2.4256684232548831E-2</v>
      </c>
      <c r="I357" s="102"/>
      <c r="J357" s="119"/>
      <c r="K357" s="119"/>
      <c r="L357" s="119"/>
      <c r="M357" s="119"/>
      <c r="N357" s="119"/>
      <c r="O357" s="119"/>
      <c r="P357" s="119"/>
      <c r="Q357" s="135">
        <f t="shared" si="74"/>
        <v>100.00000000000001</v>
      </c>
      <c r="R357" s="135"/>
      <c r="S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row>
    <row r="358" spans="1:41" ht="12.75" customHeight="1">
      <c r="A358" s="102"/>
      <c r="B358" s="597"/>
      <c r="C358" s="597"/>
      <c r="D358" s="603"/>
      <c r="E358" s="597"/>
      <c r="F358" s="597"/>
      <c r="G358" s="599"/>
      <c r="H358" s="597"/>
      <c r="I358" s="102"/>
      <c r="J358" s="119"/>
      <c r="K358" s="119"/>
      <c r="L358" s="119"/>
      <c r="M358" s="119"/>
      <c r="N358" s="119"/>
      <c r="O358" s="119"/>
      <c r="P358" s="119"/>
      <c r="Q358" s="135">
        <f t="shared" si="74"/>
        <v>0</v>
      </c>
      <c r="R358" s="135"/>
      <c r="S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row>
    <row r="359" spans="1:41" ht="15.75" customHeight="1">
      <c r="A359" s="102" t="s">
        <v>224</v>
      </c>
      <c r="B359" s="597">
        <f>('Pivot Table for Data Exchange'!$N$294)*100</f>
        <v>90.252716599358834</v>
      </c>
      <c r="C359" s="597">
        <f>('Pivot Table for Data Exchange'!$N$297)*100</f>
        <v>0</v>
      </c>
      <c r="D359" s="603">
        <f t="shared" ref="D359:D361" si="78">SUM(E359:G359)</f>
        <v>9.7472834006411588</v>
      </c>
      <c r="E359" s="597">
        <f>('Pivot Table for Data Exchange'!$N$300)*100</f>
        <v>9.7472834006411588</v>
      </c>
      <c r="F359" s="597">
        <f>('Pivot Table for Data Exchange'!$N$303)*100</f>
        <v>0</v>
      </c>
      <c r="G359" s="599">
        <f>('Pivot Table for Data Exchange'!$N$306)*100</f>
        <v>0</v>
      </c>
      <c r="H359" s="597">
        <f>('Pivot Table for Data Exchange'!$N$309)*100</f>
        <v>0</v>
      </c>
      <c r="I359" s="124"/>
      <c r="J359" s="119"/>
      <c r="K359" s="119"/>
      <c r="L359" s="119"/>
      <c r="M359" s="119"/>
      <c r="N359" s="119"/>
      <c r="O359" s="119"/>
      <c r="P359" s="119"/>
      <c r="Q359" s="135">
        <f t="shared" si="74"/>
        <v>100</v>
      </c>
      <c r="R359" s="135"/>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row>
    <row r="360" spans="1:41" ht="15.75" customHeight="1">
      <c r="A360" s="102" t="s">
        <v>184</v>
      </c>
      <c r="B360" s="597">
        <f>('Pivot Table for Data Exchange'!$N$330)*100</f>
        <v>70.231460039536856</v>
      </c>
      <c r="C360" s="597">
        <f>('Pivot Table for Data Exchange'!$N$333)*100</f>
        <v>5.1826037842417394</v>
      </c>
      <c r="D360" s="603">
        <f t="shared" si="78"/>
        <v>24.585936176221406</v>
      </c>
      <c r="E360" s="597">
        <f>('Pivot Table for Data Exchange'!$N$336)*100</f>
        <v>22.341372493645864</v>
      </c>
      <c r="F360" s="597">
        <f>('Pivot Table for Data Exchange'!$N$339)*100</f>
        <v>1.3493363456650662</v>
      </c>
      <c r="G360" s="599">
        <f>('Pivot Table for Data Exchange'!$N$342)*100</f>
        <v>0.89522733691047729</v>
      </c>
      <c r="H360" s="597">
        <f>('Pivot Table for Data Exchange'!$N$345)*100</f>
        <v>0</v>
      </c>
      <c r="I360" s="102"/>
      <c r="J360" s="119"/>
      <c r="K360" s="119"/>
      <c r="L360" s="119"/>
      <c r="M360" s="119"/>
      <c r="N360" s="119"/>
      <c r="O360" s="119"/>
      <c r="P360" s="119"/>
      <c r="Q360" s="135">
        <f t="shared" si="74"/>
        <v>100</v>
      </c>
      <c r="R360" s="135"/>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row>
    <row r="361" spans="1:41" ht="15.75" customHeight="1">
      <c r="A361" s="102" t="s">
        <v>185</v>
      </c>
      <c r="B361" s="597">
        <f>('Pivot Table for Data Exchange'!$N$366)*100</f>
        <v>60.592497868712705</v>
      </c>
      <c r="C361" s="597">
        <f>('Pivot Table for Data Exchange'!$N$369)*100</f>
        <v>7.9669762641898858</v>
      </c>
      <c r="D361" s="603">
        <f t="shared" si="78"/>
        <v>31.44052586709741</v>
      </c>
      <c r="E361" s="597">
        <f>('Pivot Table for Data Exchange'!$N$372)*100</f>
        <v>20.813703055592946</v>
      </c>
      <c r="F361" s="597">
        <f>('Pivot Table for Data Exchange'!$N$375)*100</f>
        <v>5.048010050702203</v>
      </c>
      <c r="G361" s="599">
        <f>('Pivot Table for Data Exchange'!$N$378)*100</f>
        <v>5.5788127608022613</v>
      </c>
      <c r="H361" s="597">
        <f>('Pivot Table for Data Exchange'!$N$381)*100</f>
        <v>0</v>
      </c>
      <c r="I361" s="102"/>
      <c r="J361" s="119"/>
      <c r="K361" s="119"/>
      <c r="L361" s="119"/>
      <c r="M361" s="119"/>
      <c r="N361" s="119"/>
      <c r="O361" s="119"/>
      <c r="P361" s="119"/>
      <c r="Q361" s="135">
        <f t="shared" si="74"/>
        <v>100</v>
      </c>
      <c r="R361" s="135"/>
      <c r="S361" s="100"/>
      <c r="T361" s="112"/>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row>
    <row r="362" spans="1:41" ht="15.75" customHeight="1">
      <c r="A362" s="102" t="s">
        <v>186</v>
      </c>
      <c r="B362" s="597">
        <f>('Pivot Table for Data Exchange'!$N$402)*100</f>
        <v>84.371820093616449</v>
      </c>
      <c r="C362" s="597">
        <f>('Pivot Table for Data Exchange'!$N$405)*100</f>
        <v>2.7843260294416932</v>
      </c>
      <c r="D362" s="603">
        <f>SUM(E362:G362)</f>
        <v>12.843853876941864</v>
      </c>
      <c r="E362" s="597">
        <f>('Pivot Table for Data Exchange'!$N$408)*100</f>
        <v>9.5999253781968665</v>
      </c>
      <c r="F362" s="597">
        <f>('Pivot Table for Data Exchange'!$N$411)*100</f>
        <v>3.2439284987449968</v>
      </c>
      <c r="G362" s="599">
        <f>('Pivot Table for Data Exchange'!$N$414)*100</f>
        <v>0</v>
      </c>
      <c r="H362" s="597">
        <f>('Pivot Table for Data Exchange'!$N$417)*100</f>
        <v>0</v>
      </c>
      <c r="I362" s="102"/>
      <c r="J362" s="119"/>
      <c r="K362" s="119"/>
      <c r="L362" s="119"/>
      <c r="M362" s="119"/>
      <c r="N362" s="119"/>
      <c r="O362" s="119"/>
      <c r="P362" s="119"/>
      <c r="Q362" s="135">
        <f t="shared" si="74"/>
        <v>100</v>
      </c>
      <c r="R362" s="135"/>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row>
    <row r="363" spans="1:41" ht="12" customHeight="1">
      <c r="A363" s="102"/>
      <c r="B363" s="597"/>
      <c r="C363" s="597"/>
      <c r="D363" s="603"/>
      <c r="E363" s="597"/>
      <c r="F363" s="597"/>
      <c r="G363" s="599"/>
      <c r="H363" s="597"/>
      <c r="I363" s="102"/>
      <c r="J363" s="119"/>
      <c r="K363" s="119"/>
      <c r="L363" s="119"/>
      <c r="M363" s="119"/>
      <c r="N363" s="119"/>
      <c r="O363" s="119"/>
      <c r="P363" s="119"/>
      <c r="Q363" s="135">
        <f t="shared" si="74"/>
        <v>0</v>
      </c>
      <c r="R363" s="135"/>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row>
    <row r="364" spans="1:41" ht="15.75" customHeight="1">
      <c r="A364" s="102" t="s">
        <v>187</v>
      </c>
      <c r="B364" s="597">
        <f>('Pivot Table for Data Exchange'!$N$438)*100</f>
        <v>0</v>
      </c>
      <c r="C364" s="597">
        <f>('Pivot Table for Data Exchange'!$N$441)*100</f>
        <v>0</v>
      </c>
      <c r="D364" s="603">
        <f>SUM(E364:G364)</f>
        <v>0</v>
      </c>
      <c r="E364" s="597">
        <f>('Pivot Table for Data Exchange'!$N$444)*100</f>
        <v>0</v>
      </c>
      <c r="F364" s="597">
        <f>('Pivot Table for Data Exchange'!$N$447)*100</f>
        <v>0</v>
      </c>
      <c r="G364" s="599">
        <f>('Pivot Table for Data Exchange'!$N$450)*100</f>
        <v>0</v>
      </c>
      <c r="H364" s="597">
        <f>('Pivot Table for Data Exchange'!$N$453)*100</f>
        <v>0</v>
      </c>
      <c r="I364" s="102"/>
      <c r="J364" s="119"/>
      <c r="K364" s="119"/>
      <c r="L364" s="119"/>
      <c r="M364" s="119"/>
      <c r="N364" s="119"/>
      <c r="O364" s="119"/>
      <c r="P364" s="119"/>
      <c r="Q364" s="135">
        <f t="shared" si="74"/>
        <v>0</v>
      </c>
      <c r="R364" s="135"/>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row>
    <row r="365" spans="1:41" ht="15.75" customHeight="1">
      <c r="A365" s="102" t="s">
        <v>188</v>
      </c>
      <c r="B365" s="597">
        <f>('Pivot Table for Data Exchange'!$N$474)*100</f>
        <v>62.20481628961916</v>
      </c>
      <c r="C365" s="597">
        <f>('Pivot Table for Data Exchange'!$N$477)*100</f>
        <v>14.121170573277517</v>
      </c>
      <c r="D365" s="603">
        <f>SUM(E365:G365)</f>
        <v>23.674013137103319</v>
      </c>
      <c r="E365" s="597">
        <f>('Pivot Table for Data Exchange'!$N$480)*100</f>
        <v>20.671489763075112</v>
      </c>
      <c r="F365" s="597">
        <f>('Pivot Table for Data Exchange'!$N$483)*100</f>
        <v>2.2506162575300106</v>
      </c>
      <c r="G365" s="599">
        <f>('Pivot Table for Data Exchange'!$N$486)*100</f>
        <v>0.75190711649819864</v>
      </c>
      <c r="H365" s="597">
        <f>('Pivot Table for Data Exchange'!$N$489)*100</f>
        <v>0</v>
      </c>
      <c r="I365" s="102"/>
      <c r="J365" s="119"/>
      <c r="K365" s="119"/>
      <c r="L365" s="119"/>
      <c r="M365" s="119"/>
      <c r="N365" s="119"/>
      <c r="O365" s="119"/>
      <c r="P365" s="119"/>
      <c r="Q365" s="135">
        <f t="shared" si="74"/>
        <v>100</v>
      </c>
      <c r="R365" s="135"/>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row>
    <row r="366" spans="1:41" ht="15.75" customHeight="1">
      <c r="A366" s="102" t="s">
        <v>189</v>
      </c>
      <c r="B366" s="597">
        <f>('Pivot Table for Data Exchange'!$N$510)*100</f>
        <v>53.152215102365489</v>
      </c>
      <c r="C366" s="597">
        <f>('Pivot Table for Data Exchange'!$N$513)*100</f>
        <v>16.922651499892464</v>
      </c>
      <c r="D366" s="603">
        <f t="shared" ref="D366" si="79">SUM(E366:G366)</f>
        <v>29.925133397742051</v>
      </c>
      <c r="E366" s="597">
        <f>('Pivot Table for Data Exchange'!$N$516)*100</f>
        <v>21.169871740162023</v>
      </c>
      <c r="F366" s="597">
        <f>('Pivot Table for Data Exchange'!$N$519)*100</f>
        <v>8.7552616575800304</v>
      </c>
      <c r="G366" s="599">
        <f>('Pivot Table for Data Exchange'!$N$522)*100</f>
        <v>0</v>
      </c>
      <c r="H366" s="597">
        <f>('Pivot Table for Data Exchange'!$N$525)*100</f>
        <v>0</v>
      </c>
      <c r="I366" s="102"/>
      <c r="J366" s="119"/>
      <c r="K366" s="119"/>
      <c r="L366" s="119"/>
      <c r="M366" s="119"/>
      <c r="N366" s="119"/>
      <c r="O366" s="119"/>
      <c r="P366" s="119"/>
      <c r="Q366" s="135">
        <f t="shared" si="74"/>
        <v>100</v>
      </c>
      <c r="R366" s="135"/>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row>
    <row r="367" spans="1:41" ht="15.75" customHeight="1">
      <c r="A367" s="76" t="s">
        <v>226</v>
      </c>
      <c r="B367" s="600">
        <f>('Pivot Table for Data Exchange'!$N$546)*100</f>
        <v>62.783759821114906</v>
      </c>
      <c r="C367" s="600">
        <f>('Pivot Table for Data Exchange'!$N$549)*100</f>
        <v>19.692694596086611</v>
      </c>
      <c r="D367" s="604">
        <f>SUM(E367:G367)</f>
        <v>17.429865111273443</v>
      </c>
      <c r="E367" s="600">
        <f>('Pivot Table for Data Exchange'!$N$552)*100</f>
        <v>15.312574930436673</v>
      </c>
      <c r="F367" s="600">
        <f>('Pivot Table for Data Exchange'!$N$555)*100</f>
        <v>2.1072529874590842</v>
      </c>
      <c r="G367" s="632">
        <f>('Pivot Table for Data Exchange'!$N$558)*100</f>
        <v>1.0037193377682859E-2</v>
      </c>
      <c r="H367" s="600">
        <f>('Pivot Table for Data Exchange'!$N$561)*100</f>
        <v>9.3680471525040013E-2</v>
      </c>
      <c r="I367" s="102"/>
      <c r="J367" s="119"/>
      <c r="K367" s="119"/>
      <c r="L367" s="119"/>
      <c r="M367" s="119"/>
      <c r="N367" s="119"/>
      <c r="O367" s="119"/>
      <c r="P367" s="119"/>
      <c r="Q367" s="135">
        <f t="shared" si="74"/>
        <v>100</v>
      </c>
      <c r="R367" s="135"/>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row>
    <row r="368" spans="1:41" s="45" customFormat="1" ht="18" customHeight="1">
      <c r="A368" s="43" t="s">
        <v>219</v>
      </c>
      <c r="B368" s="106"/>
      <c r="C368" s="106"/>
      <c r="D368" s="107"/>
      <c r="E368" s="106"/>
      <c r="F368" s="107"/>
      <c r="G368" s="107"/>
      <c r="H368" s="106"/>
      <c r="I368" s="43"/>
      <c r="J368" s="106"/>
      <c r="K368" s="106"/>
      <c r="L368" s="107"/>
      <c r="M368" s="106"/>
      <c r="N368" s="107"/>
      <c r="O368" s="107"/>
      <c r="P368" s="106"/>
      <c r="Q368" s="135">
        <f t="shared" si="74"/>
        <v>0</v>
      </c>
      <c r="R368" s="139"/>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row>
    <row r="369" spans="1:41" s="45" customFormat="1" ht="27.75" customHeight="1">
      <c r="A369" s="655" t="s">
        <v>225</v>
      </c>
      <c r="B369" s="662"/>
      <c r="C369" s="662"/>
      <c r="D369" s="662"/>
      <c r="E369" s="662"/>
      <c r="F369" s="662"/>
      <c r="G369" s="662"/>
      <c r="H369" s="662"/>
      <c r="I369" s="43"/>
      <c r="P369" s="115"/>
      <c r="Q369" s="135">
        <f t="shared" si="74"/>
        <v>0</v>
      </c>
      <c r="R369" s="144"/>
    </row>
    <row r="370" spans="1:41" s="45" customFormat="1" ht="13.5" customHeight="1">
      <c r="A370" s="113"/>
      <c r="H370" s="47"/>
      <c r="I370" s="113"/>
      <c r="Q370" s="135">
        <f t="shared" si="74"/>
        <v>0</v>
      </c>
      <c r="R370" s="144"/>
    </row>
    <row r="371" spans="1:41" s="45" customFormat="1">
      <c r="A371" s="47"/>
      <c r="B371" s="106"/>
      <c r="C371" s="106"/>
      <c r="D371" s="107"/>
      <c r="E371" s="106"/>
      <c r="F371" s="107"/>
      <c r="G371" s="107"/>
      <c r="H371" s="49" t="s">
        <v>900</v>
      </c>
      <c r="I371" s="123"/>
      <c r="J371" s="47"/>
      <c r="K371" s="47"/>
      <c r="L371" s="47"/>
      <c r="M371" s="47"/>
      <c r="N371" s="47"/>
      <c r="O371" s="47"/>
      <c r="P371" s="47"/>
      <c r="Q371" s="135">
        <f t="shared" si="74"/>
        <v>0</v>
      </c>
      <c r="R371" s="139"/>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row>
    <row r="372" spans="1:41" ht="18">
      <c r="A372" s="16" t="s">
        <v>277</v>
      </c>
      <c r="B372" s="71"/>
      <c r="C372" s="71"/>
      <c r="D372" s="71"/>
      <c r="E372" s="71"/>
      <c r="F372" s="71"/>
      <c r="G372" s="71"/>
      <c r="H372" s="72"/>
      <c r="I372" s="118"/>
      <c r="J372" s="102"/>
      <c r="K372" s="102"/>
      <c r="L372" s="102"/>
      <c r="M372" s="102"/>
      <c r="N372" s="102"/>
      <c r="O372" s="102"/>
      <c r="P372" s="102"/>
      <c r="Q372" s="135">
        <f t="shared" si="74"/>
        <v>0</v>
      </c>
    </row>
    <row r="373" spans="1:41">
      <c r="A373" s="22"/>
      <c r="B373" s="23"/>
      <c r="C373" s="23"/>
      <c r="D373" s="23"/>
      <c r="E373" s="23"/>
      <c r="F373" s="23"/>
      <c r="G373" s="23"/>
      <c r="H373" s="73"/>
      <c r="I373" s="118"/>
      <c r="J373" s="102"/>
      <c r="K373" s="102"/>
      <c r="L373" s="102"/>
      <c r="M373" s="102"/>
      <c r="N373" s="102"/>
      <c r="O373" s="102"/>
      <c r="P373" s="102"/>
      <c r="Q373" s="135">
        <f t="shared" si="74"/>
        <v>0</v>
      </c>
    </row>
    <row r="374" spans="1:41" ht="15.75">
      <c r="A374" s="74" t="s">
        <v>205</v>
      </c>
      <c r="B374" s="23"/>
      <c r="C374" s="23"/>
      <c r="D374" s="23"/>
      <c r="E374" s="23"/>
      <c r="F374" s="23"/>
      <c r="G374" s="23"/>
      <c r="H374" s="73"/>
      <c r="I374" s="118"/>
      <c r="J374" s="102"/>
      <c r="K374" s="102"/>
      <c r="L374" s="102"/>
      <c r="M374" s="102"/>
      <c r="N374" s="102"/>
      <c r="O374" s="102"/>
      <c r="P374" s="102"/>
      <c r="Q374" s="135">
        <f t="shared" si="74"/>
        <v>0</v>
      </c>
    </row>
    <row r="375" spans="1:41" ht="15.75">
      <c r="A375" s="74" t="s">
        <v>249</v>
      </c>
      <c r="B375" s="23"/>
      <c r="C375" s="23"/>
      <c r="D375" s="23"/>
      <c r="E375" s="23"/>
      <c r="F375" s="23"/>
      <c r="G375" s="23"/>
      <c r="H375" s="73"/>
      <c r="I375" s="118"/>
      <c r="J375" s="102"/>
      <c r="K375" s="102"/>
      <c r="L375" s="102"/>
      <c r="M375" s="102"/>
      <c r="N375" s="102"/>
      <c r="O375" s="102"/>
      <c r="P375" s="102"/>
      <c r="Q375" s="135">
        <f t="shared" si="74"/>
        <v>0</v>
      </c>
    </row>
    <row r="376" spans="1:41">
      <c r="A376" s="76"/>
      <c r="B376" s="77"/>
      <c r="C376" s="77"/>
      <c r="D376" s="77"/>
      <c r="E376" s="77"/>
      <c r="F376" s="77"/>
      <c r="G376" s="77"/>
      <c r="H376" s="77"/>
      <c r="I376" s="118"/>
      <c r="J376" s="102"/>
      <c r="K376" s="102"/>
      <c r="L376" s="102"/>
      <c r="M376" s="102"/>
      <c r="N376" s="102"/>
      <c r="O376" s="102"/>
      <c r="P376" s="102"/>
      <c r="Q376" s="135">
        <f t="shared" si="74"/>
        <v>0</v>
      </c>
    </row>
    <row r="377" spans="1:41">
      <c r="A377" s="80"/>
      <c r="B377" s="81" t="s">
        <v>207</v>
      </c>
      <c r="C377" s="81"/>
      <c r="D377" s="81"/>
      <c r="E377" s="81"/>
      <c r="F377" s="81"/>
      <c r="G377" s="81"/>
      <c r="H377" s="82"/>
      <c r="I377" s="118"/>
      <c r="J377" s="102"/>
      <c r="K377" s="102"/>
      <c r="L377" s="102"/>
      <c r="M377" s="102"/>
      <c r="N377" s="102"/>
      <c r="O377" s="102"/>
      <c r="P377" s="102"/>
      <c r="Q377" s="135">
        <f t="shared" si="74"/>
        <v>0</v>
      </c>
    </row>
    <row r="378" spans="1:41">
      <c r="A378" s="80"/>
      <c r="B378" s="81" t="s">
        <v>208</v>
      </c>
      <c r="C378" s="81"/>
      <c r="D378" s="653" t="s">
        <v>209</v>
      </c>
      <c r="E378" s="654"/>
      <c r="F378" s="654"/>
      <c r="G378" s="654"/>
      <c r="H378" s="86" t="s">
        <v>39</v>
      </c>
      <c r="I378" s="118"/>
      <c r="J378" s="102"/>
      <c r="K378" s="102"/>
      <c r="L378" s="102"/>
      <c r="M378" s="102"/>
      <c r="N378" s="102"/>
      <c r="O378" s="102"/>
      <c r="P378" s="102"/>
      <c r="Q378" s="135">
        <f t="shared" si="74"/>
        <v>0</v>
      </c>
    </row>
    <row r="379" spans="1:41" ht="36">
      <c r="A379" s="80"/>
      <c r="B379" s="87" t="s">
        <v>210</v>
      </c>
      <c r="C379" s="88" t="s">
        <v>211</v>
      </c>
      <c r="D379" s="89" t="s">
        <v>212</v>
      </c>
      <c r="E379" s="90" t="s">
        <v>7</v>
      </c>
      <c r="F379" s="87" t="s">
        <v>213</v>
      </c>
      <c r="G379" s="91" t="s">
        <v>214</v>
      </c>
      <c r="H379" s="92" t="s">
        <v>215</v>
      </c>
      <c r="I379" s="118"/>
      <c r="J379" s="102"/>
      <c r="K379" s="102"/>
      <c r="L379" s="102"/>
      <c r="M379" s="102"/>
      <c r="N379" s="102"/>
      <c r="O379" s="102"/>
      <c r="P379" s="102"/>
      <c r="Q379" s="135">
        <f t="shared" si="74"/>
        <v>0</v>
      </c>
    </row>
    <row r="380" spans="1:41" ht="15.75" customHeight="1">
      <c r="A380" s="99" t="s">
        <v>175</v>
      </c>
      <c r="B380" s="597">
        <f>('Pivot Table for Data Exchange'!$R$6)*100</f>
        <v>59.170721879552424</v>
      </c>
      <c r="C380" s="597">
        <f>('Pivot Table for Data Exchange'!$R$9)*100</f>
        <v>32.928586926200296</v>
      </c>
      <c r="D380" s="603">
        <f>SUM(E380:G380)</f>
        <v>7.9006911942472806</v>
      </c>
      <c r="E380" s="597">
        <f>('Pivot Table for Data Exchange'!$R$12)*100</f>
        <v>7.9006911942472806</v>
      </c>
      <c r="F380" s="597">
        <f>('Pivot Table for Data Exchange'!$R$15)*100</f>
        <v>0</v>
      </c>
      <c r="G380" s="97">
        <f>('Pivot Table for Data Exchange'!$R$18)*100</f>
        <v>0</v>
      </c>
      <c r="H380" s="597">
        <f>('Pivot Table for Data Exchange'!$R$21)*100</f>
        <v>0</v>
      </c>
      <c r="I380" s="102"/>
      <c r="J380" s="119"/>
      <c r="K380" s="119"/>
      <c r="L380" s="119"/>
      <c r="M380" s="119"/>
      <c r="N380" s="119"/>
      <c r="O380" s="119"/>
      <c r="P380" s="119"/>
      <c r="Q380" s="135">
        <f t="shared" si="74"/>
        <v>100</v>
      </c>
      <c r="R380" s="135"/>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row>
    <row r="381" spans="1:41" ht="15.75" customHeight="1">
      <c r="A381" s="102" t="s">
        <v>176</v>
      </c>
      <c r="B381" s="597">
        <f>('Pivot Table for Data Exchange'!$R$42)*100</f>
        <v>0</v>
      </c>
      <c r="C381" s="597">
        <f>('Pivot Table for Data Exchange'!$R$45)*100</f>
        <v>0</v>
      </c>
      <c r="D381" s="603">
        <f t="shared" ref="D381:D383" si="80">SUM(E381:G381)</f>
        <v>0</v>
      </c>
      <c r="E381" s="597">
        <f>('Pivot Table for Data Exchange'!$R$48)*100</f>
        <v>0</v>
      </c>
      <c r="F381" s="597">
        <f>('Pivot Table for Data Exchange'!$R$51)*100</f>
        <v>0</v>
      </c>
      <c r="G381" s="599">
        <f>('Pivot Table for Data Exchange'!$R$54)*100</f>
        <v>0</v>
      </c>
      <c r="H381" s="597">
        <f>('Pivot Table for Data Exchange'!$R$57)*100</f>
        <v>0</v>
      </c>
      <c r="I381" s="102"/>
      <c r="J381" s="119"/>
      <c r="K381" s="119"/>
      <c r="L381" s="119"/>
      <c r="M381" s="119"/>
      <c r="N381" s="119"/>
      <c r="O381" s="119"/>
      <c r="P381" s="119"/>
      <c r="Q381" s="135">
        <f t="shared" si="74"/>
        <v>0</v>
      </c>
      <c r="R381" s="135"/>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row>
    <row r="382" spans="1:41" ht="15.75" customHeight="1">
      <c r="A382" s="102" t="s">
        <v>177</v>
      </c>
      <c r="B382" s="597">
        <f>('Pivot Table for Data Exchange'!$R$78)*100</f>
        <v>0</v>
      </c>
      <c r="C382" s="597">
        <f>('Pivot Table for Data Exchange'!$R$81)*100</f>
        <v>0</v>
      </c>
      <c r="D382" s="603">
        <f t="shared" si="80"/>
        <v>0</v>
      </c>
      <c r="E382" s="597">
        <f>('Pivot Table for Data Exchange'!$R$84)*100</f>
        <v>0</v>
      </c>
      <c r="F382" s="597">
        <f>('Pivot Table for Data Exchange'!$R$87)*100</f>
        <v>0</v>
      </c>
      <c r="G382" s="599">
        <f>('Pivot Table for Data Exchange'!$R$90)*100</f>
        <v>0</v>
      </c>
      <c r="H382" s="597">
        <f>('Pivot Table for Data Exchange'!$R$93)*100</f>
        <v>0</v>
      </c>
      <c r="I382" s="102"/>
      <c r="J382" s="119"/>
      <c r="K382" s="119"/>
      <c r="L382" s="119"/>
      <c r="M382" s="119"/>
      <c r="N382" s="119"/>
      <c r="O382" s="119"/>
      <c r="P382" s="119"/>
      <c r="Q382" s="135">
        <f t="shared" si="74"/>
        <v>0</v>
      </c>
      <c r="R382" s="135"/>
      <c r="S382" s="100"/>
      <c r="T382" s="112"/>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row>
    <row r="383" spans="1:41" ht="15.75" customHeight="1">
      <c r="A383" s="102" t="s">
        <v>178</v>
      </c>
      <c r="B383" s="597">
        <f>('Pivot Table for Data Exchange'!$R$114)*100</f>
        <v>0</v>
      </c>
      <c r="C383" s="597">
        <f>('Pivot Table for Data Exchange'!$R$117)*100</f>
        <v>0</v>
      </c>
      <c r="D383" s="603">
        <f t="shared" si="80"/>
        <v>0</v>
      </c>
      <c r="E383" s="597">
        <f>('Pivot Table for Data Exchange'!$R$120)*100</f>
        <v>0</v>
      </c>
      <c r="F383" s="597">
        <f>('Pivot Table for Data Exchange'!$R$123)*100</f>
        <v>0</v>
      </c>
      <c r="G383" s="599">
        <f>('Pivot Table for Data Exchange'!$R$126)*100</f>
        <v>0</v>
      </c>
      <c r="H383" s="597">
        <f>('Pivot Table for Data Exchange'!$R$129)*100</f>
        <v>0</v>
      </c>
      <c r="I383" s="102"/>
      <c r="J383" s="119"/>
      <c r="K383" s="119"/>
      <c r="L383" s="119"/>
      <c r="M383" s="119"/>
      <c r="N383" s="119"/>
      <c r="O383" s="119"/>
      <c r="P383" s="119"/>
      <c r="Q383" s="135">
        <f t="shared" si="74"/>
        <v>0</v>
      </c>
      <c r="R383" s="135"/>
      <c r="S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row>
    <row r="384" spans="1:41" ht="15.75" customHeight="1">
      <c r="A384" s="102"/>
      <c r="B384" s="597"/>
      <c r="C384" s="597"/>
      <c r="D384" s="603"/>
      <c r="E384" s="597"/>
      <c r="F384" s="597"/>
      <c r="G384" s="599"/>
      <c r="H384" s="597"/>
      <c r="I384" s="102"/>
      <c r="J384" s="119"/>
      <c r="K384" s="119"/>
      <c r="L384" s="119"/>
      <c r="M384" s="119"/>
      <c r="N384" s="119"/>
      <c r="O384" s="119"/>
      <c r="P384" s="119"/>
      <c r="Q384" s="135">
        <f t="shared" si="74"/>
        <v>0</v>
      </c>
      <c r="R384" s="135"/>
      <c r="S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row>
    <row r="385" spans="1:41" ht="15.75" customHeight="1">
      <c r="A385" s="102" t="s">
        <v>179</v>
      </c>
      <c r="B385" s="597">
        <f>('Pivot Table for Data Exchange'!$R$150)*100</f>
        <v>80.024061191603707</v>
      </c>
      <c r="C385" s="597">
        <f>('Pivot Table for Data Exchange'!$R$153)*100</f>
        <v>0</v>
      </c>
      <c r="D385" s="603">
        <f t="shared" ref="D385:D388" si="81">SUM(E385:G385)</f>
        <v>19.975938808396311</v>
      </c>
      <c r="E385" s="597">
        <f>('Pivot Table for Data Exchange'!$R$156)*100</f>
        <v>19.775662501708783</v>
      </c>
      <c r="F385" s="597">
        <f>('Pivot Table for Data Exchange'!$R$159)*100</f>
        <v>0.20027630668752716</v>
      </c>
      <c r="G385" s="599">
        <f>('Pivot Table for Data Exchange'!$R$162)*100</f>
        <v>0</v>
      </c>
      <c r="H385" s="597">
        <f>('Pivot Table for Data Exchange'!$R$165)*100</f>
        <v>0</v>
      </c>
      <c r="I385" s="102"/>
      <c r="J385" s="119"/>
      <c r="K385" s="119"/>
      <c r="L385" s="119"/>
      <c r="M385" s="119"/>
      <c r="N385" s="119"/>
      <c r="O385" s="119"/>
      <c r="P385" s="119"/>
      <c r="Q385" s="135">
        <f t="shared" si="74"/>
        <v>100.00000000000001</v>
      </c>
      <c r="R385" s="135"/>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row>
    <row r="386" spans="1:41" ht="15.75" customHeight="1">
      <c r="A386" s="102" t="s">
        <v>180</v>
      </c>
      <c r="B386" s="597">
        <f>('Pivot Table for Data Exchange'!$R$186)*100</f>
        <v>91.870314760821032</v>
      </c>
      <c r="C386" s="597">
        <f>('Pivot Table for Data Exchange'!$R$189)*100</f>
        <v>0.58894956119622199</v>
      </c>
      <c r="D386" s="603">
        <f t="shared" si="81"/>
        <v>7.540735677982739</v>
      </c>
      <c r="E386" s="597">
        <f>('Pivot Table for Data Exchange'!$R$192)*100</f>
        <v>7.540735677982739</v>
      </c>
      <c r="F386" s="597">
        <f>('Pivot Table for Data Exchange'!$R$195)*100</f>
        <v>0</v>
      </c>
      <c r="G386" s="599">
        <f>('Pivot Table for Data Exchange'!$R$198)*100</f>
        <v>0</v>
      </c>
      <c r="H386" s="597">
        <f>('Pivot Table for Data Exchange'!$R$201)*100</f>
        <v>0</v>
      </c>
      <c r="I386" s="102"/>
      <c r="J386" s="119"/>
      <c r="K386" s="119"/>
      <c r="L386" s="119"/>
      <c r="M386" s="119"/>
      <c r="N386" s="119"/>
      <c r="O386" s="119"/>
      <c r="P386" s="119"/>
      <c r="Q386" s="135">
        <f t="shared" si="74"/>
        <v>99.999999999999986</v>
      </c>
      <c r="R386" s="135"/>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row>
    <row r="387" spans="1:41" ht="15.75" customHeight="1">
      <c r="A387" s="102" t="s">
        <v>181</v>
      </c>
      <c r="B387" s="597">
        <f>('Pivot Table for Data Exchange'!$R$222)*100</f>
        <v>0</v>
      </c>
      <c r="C387" s="597">
        <f>('Pivot Table for Data Exchange'!$R$225)*100</f>
        <v>0</v>
      </c>
      <c r="D387" s="603">
        <f t="shared" si="81"/>
        <v>0</v>
      </c>
      <c r="E387" s="597">
        <f>('Pivot Table for Data Exchange'!$R$228)*100</f>
        <v>0</v>
      </c>
      <c r="F387" s="597">
        <f>('Pivot Table for Data Exchange'!$R$231)*100</f>
        <v>0</v>
      </c>
      <c r="G387" s="599">
        <f>('Pivot Table for Data Exchange'!$R$234)*100</f>
        <v>0</v>
      </c>
      <c r="H387" s="597">
        <f>('Pivot Table for Data Exchange'!$R$237)*100</f>
        <v>0</v>
      </c>
      <c r="I387" s="124"/>
      <c r="J387" s="119"/>
      <c r="K387" s="119"/>
      <c r="L387" s="119"/>
      <c r="M387" s="119"/>
      <c r="N387" s="119"/>
      <c r="O387" s="119"/>
      <c r="P387" s="119"/>
      <c r="Q387" s="135">
        <f>SUM(I387,C387,D387,H387)</f>
        <v>0</v>
      </c>
      <c r="R387" s="135"/>
      <c r="S387" s="100"/>
      <c r="T387" s="112"/>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row>
    <row r="388" spans="1:41" ht="15.75" customHeight="1">
      <c r="A388" s="102" t="s">
        <v>222</v>
      </c>
      <c r="B388" s="597">
        <f>('Pivot Table for Data Exchange'!$R$258)*100</f>
        <v>0</v>
      </c>
      <c r="C388" s="597">
        <f>('Pivot Table for Data Exchange'!$R$261)*100</f>
        <v>0</v>
      </c>
      <c r="D388" s="603">
        <f t="shared" si="81"/>
        <v>0</v>
      </c>
      <c r="E388" s="597">
        <f>('Pivot Table for Data Exchange'!$R$264)*100</f>
        <v>0</v>
      </c>
      <c r="F388" s="597">
        <f>('Pivot Table for Data Exchange'!$R$267)*100</f>
        <v>0</v>
      </c>
      <c r="G388" s="599">
        <f>('Pivot Table for Data Exchange'!$R$270)*100</f>
        <v>0</v>
      </c>
      <c r="H388" s="597">
        <f>('Pivot Table for Data Exchange'!$R$273)*100</f>
        <v>0</v>
      </c>
      <c r="I388" s="102"/>
      <c r="J388" s="119"/>
      <c r="K388" s="119"/>
      <c r="L388" s="119"/>
      <c r="M388" s="119"/>
      <c r="N388" s="119"/>
      <c r="O388" s="119"/>
      <c r="P388" s="119"/>
      <c r="Q388" s="135">
        <f t="shared" si="74"/>
        <v>0</v>
      </c>
      <c r="R388" s="135"/>
      <c r="S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row>
    <row r="389" spans="1:41" ht="15.75" customHeight="1">
      <c r="A389" s="102"/>
      <c r="B389" s="597"/>
      <c r="C389" s="597"/>
      <c r="D389" s="603"/>
      <c r="E389" s="597"/>
      <c r="F389" s="597"/>
      <c r="G389" s="599"/>
      <c r="H389" s="597"/>
      <c r="I389" s="102"/>
      <c r="J389" s="119"/>
      <c r="K389" s="119"/>
      <c r="L389" s="119"/>
      <c r="M389" s="119"/>
      <c r="N389" s="119"/>
      <c r="O389" s="119"/>
      <c r="P389" s="119"/>
      <c r="Q389" s="135">
        <f t="shared" si="74"/>
        <v>0</v>
      </c>
      <c r="R389" s="135"/>
      <c r="S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row>
    <row r="390" spans="1:41" ht="15.75" customHeight="1">
      <c r="A390" s="102" t="s">
        <v>183</v>
      </c>
      <c r="B390" s="597">
        <f>('Pivot Table for Data Exchange'!$R$294)*100</f>
        <v>0</v>
      </c>
      <c r="C390" s="597">
        <f>('Pivot Table for Data Exchange'!$R$297)*100</f>
        <v>0</v>
      </c>
      <c r="D390" s="603">
        <f t="shared" ref="D390:D392" si="82">SUM(E390:G390)</f>
        <v>0</v>
      </c>
      <c r="E390" s="597">
        <f>('Pivot Table for Data Exchange'!$R$300)*100</f>
        <v>0</v>
      </c>
      <c r="F390" s="597">
        <f>('Pivot Table for Data Exchange'!$R$303)*100</f>
        <v>0</v>
      </c>
      <c r="G390" s="599">
        <f>('Pivot Table for Data Exchange'!$R$306)*100</f>
        <v>0</v>
      </c>
      <c r="H390" s="597">
        <f>('Pivot Table for Data Exchange'!$R$309)*100</f>
        <v>0</v>
      </c>
      <c r="I390" s="102"/>
      <c r="J390" s="119"/>
      <c r="K390" s="119"/>
      <c r="L390" s="119"/>
      <c r="M390" s="119"/>
      <c r="N390" s="119"/>
      <c r="O390" s="119"/>
      <c r="P390" s="119"/>
      <c r="Q390" s="135">
        <f t="shared" si="74"/>
        <v>0</v>
      </c>
      <c r="R390" s="135"/>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c r="AN390" s="100"/>
      <c r="AO390" s="100"/>
    </row>
    <row r="391" spans="1:41" ht="15.75" customHeight="1">
      <c r="A391" s="102" t="s">
        <v>184</v>
      </c>
      <c r="B391" s="597">
        <f>('Pivot Table for Data Exchange'!$R$330)*100</f>
        <v>0</v>
      </c>
      <c r="C391" s="597">
        <f>('Pivot Table for Data Exchange'!$R$333)*100</f>
        <v>0</v>
      </c>
      <c r="D391" s="603">
        <f t="shared" si="82"/>
        <v>0</v>
      </c>
      <c r="E391" s="597">
        <f>('Pivot Table for Data Exchange'!$R$336)*100</f>
        <v>0</v>
      </c>
      <c r="F391" s="597">
        <f>('Pivot Table for Data Exchange'!$R$339)*100</f>
        <v>0</v>
      </c>
      <c r="G391" s="599">
        <f>('Pivot Table for Data Exchange'!$R$342)*100</f>
        <v>0</v>
      </c>
      <c r="H391" s="597">
        <f>('Pivot Table for Data Exchange'!$R$345)*100</f>
        <v>0</v>
      </c>
      <c r="I391" s="102"/>
      <c r="J391" s="119"/>
      <c r="K391" s="119"/>
      <c r="L391" s="119"/>
      <c r="M391" s="119"/>
      <c r="N391" s="119"/>
      <c r="O391" s="119"/>
      <c r="P391" s="119"/>
      <c r="Q391" s="135">
        <f t="shared" si="74"/>
        <v>0</v>
      </c>
      <c r="R391" s="135"/>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row>
    <row r="392" spans="1:41" ht="15.75" customHeight="1">
      <c r="A392" s="102" t="s">
        <v>185</v>
      </c>
      <c r="B392" s="597">
        <f>('Pivot Table for Data Exchange'!$R$366)*100</f>
        <v>0</v>
      </c>
      <c r="C392" s="597">
        <f>('Pivot Table for Data Exchange'!$R$369)*100</f>
        <v>0</v>
      </c>
      <c r="D392" s="603">
        <f t="shared" si="82"/>
        <v>0</v>
      </c>
      <c r="E392" s="597">
        <f>('Pivot Table for Data Exchange'!$R$372)*100</f>
        <v>0</v>
      </c>
      <c r="F392" s="597">
        <f>('Pivot Table for Data Exchange'!$R$375)*100</f>
        <v>0</v>
      </c>
      <c r="G392" s="599">
        <f>('Pivot Table for Data Exchange'!$R$378)*100</f>
        <v>0</v>
      </c>
      <c r="H392" s="597">
        <f>('Pivot Table for Data Exchange'!$R$381)*100</f>
        <v>0</v>
      </c>
      <c r="I392" s="102"/>
      <c r="J392" s="119"/>
      <c r="K392" s="119"/>
      <c r="L392" s="119"/>
      <c r="M392" s="119"/>
      <c r="N392" s="119"/>
      <c r="O392" s="119"/>
      <c r="P392" s="119"/>
      <c r="Q392" s="135">
        <f t="shared" si="74"/>
        <v>0</v>
      </c>
      <c r="R392" s="135"/>
      <c r="S392" s="100"/>
      <c r="T392" s="112"/>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row>
    <row r="393" spans="1:41" ht="15.75" customHeight="1">
      <c r="A393" s="102" t="s">
        <v>186</v>
      </c>
      <c r="B393" s="597">
        <f>('Pivot Table for Data Exchange'!$R$402)*100</f>
        <v>0</v>
      </c>
      <c r="C393" s="597">
        <f>('Pivot Table for Data Exchange'!$R$405)*100</f>
        <v>0</v>
      </c>
      <c r="D393" s="603">
        <f>SUM(E393:G393)</f>
        <v>0</v>
      </c>
      <c r="E393" s="597">
        <f>('Pivot Table for Data Exchange'!$R$408)*100</f>
        <v>0</v>
      </c>
      <c r="F393" s="597">
        <f>('Pivot Table for Data Exchange'!$R$411)*100</f>
        <v>0</v>
      </c>
      <c r="G393" s="599">
        <f>('Pivot Table for Data Exchange'!$R$414)*100</f>
        <v>0</v>
      </c>
      <c r="H393" s="597">
        <f>('Pivot Table for Data Exchange'!$R$417)*100</f>
        <v>0</v>
      </c>
      <c r="I393" s="102"/>
      <c r="J393" s="119"/>
      <c r="K393" s="119"/>
      <c r="L393" s="119"/>
      <c r="M393" s="119"/>
      <c r="N393" s="119"/>
      <c r="O393" s="119"/>
      <c r="P393" s="119"/>
      <c r="Q393" s="135">
        <f t="shared" si="74"/>
        <v>0</v>
      </c>
      <c r="R393" s="135"/>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row>
    <row r="394" spans="1:41" ht="15.75" customHeight="1">
      <c r="A394" s="102"/>
      <c r="B394" s="597"/>
      <c r="C394" s="597"/>
      <c r="D394" s="603"/>
      <c r="E394" s="597"/>
      <c r="F394" s="597"/>
      <c r="G394" s="599"/>
      <c r="H394" s="597"/>
      <c r="I394" s="102"/>
      <c r="J394" s="119"/>
      <c r="K394" s="119"/>
      <c r="L394" s="119"/>
      <c r="M394" s="119"/>
      <c r="N394" s="119"/>
      <c r="O394" s="119"/>
      <c r="P394" s="119"/>
      <c r="Q394" s="135">
        <f t="shared" si="74"/>
        <v>0</v>
      </c>
      <c r="R394" s="135"/>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row>
    <row r="395" spans="1:41" ht="15.75" customHeight="1">
      <c r="A395" s="102" t="s">
        <v>187</v>
      </c>
      <c r="B395" s="597">
        <f>('Pivot Table for Data Exchange'!$R$438)*100</f>
        <v>0</v>
      </c>
      <c r="C395" s="597">
        <f>('Pivot Table for Data Exchange'!$R$441)*100</f>
        <v>0</v>
      </c>
      <c r="D395" s="603">
        <f>SUM(E395:G395)</f>
        <v>0</v>
      </c>
      <c r="E395" s="597">
        <f>('Pivot Table for Data Exchange'!$R$444)*100</f>
        <v>0</v>
      </c>
      <c r="F395" s="597">
        <f>('Pivot Table for Data Exchange'!$R$447)*100</f>
        <v>0</v>
      </c>
      <c r="G395" s="599">
        <f>('Pivot Table for Data Exchange'!$R$450)*100</f>
        <v>0</v>
      </c>
      <c r="H395" s="597">
        <f>('Pivot Table for Data Exchange'!$R$453)*100</f>
        <v>0</v>
      </c>
      <c r="I395" s="102"/>
      <c r="J395" s="119"/>
      <c r="K395" s="119"/>
      <c r="L395" s="119"/>
      <c r="M395" s="119"/>
      <c r="N395" s="119"/>
      <c r="O395" s="119"/>
      <c r="P395" s="119"/>
      <c r="Q395" s="135">
        <f t="shared" ref="Q395:Q457" si="83">SUM(B395,C395,D395,H395)</f>
        <v>0</v>
      </c>
      <c r="R395" s="135"/>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row>
    <row r="396" spans="1:41" ht="15.75" customHeight="1">
      <c r="A396" s="102" t="s">
        <v>188</v>
      </c>
      <c r="B396" s="597">
        <f>('Pivot Table for Data Exchange'!$R$474)*100</f>
        <v>0</v>
      </c>
      <c r="C396" s="597">
        <f>('Pivot Table for Data Exchange'!$R$477)*100</f>
        <v>0</v>
      </c>
      <c r="D396" s="603">
        <f>SUM(E396:G396)</f>
        <v>0</v>
      </c>
      <c r="E396" s="597">
        <f>('Pivot Table for Data Exchange'!$R$480)*100</f>
        <v>0</v>
      </c>
      <c r="F396" s="597">
        <f>('Pivot Table for Data Exchange'!$R$483)*100</f>
        <v>0</v>
      </c>
      <c r="G396" s="599">
        <f>('Pivot Table for Data Exchange'!$R$486)*100</f>
        <v>0</v>
      </c>
      <c r="H396" s="597">
        <f>('Pivot Table for Data Exchange'!$R$489)*100</f>
        <v>0</v>
      </c>
      <c r="I396" s="102"/>
      <c r="J396" s="119"/>
      <c r="K396" s="119"/>
      <c r="L396" s="119"/>
      <c r="M396" s="119"/>
      <c r="N396" s="119"/>
      <c r="O396" s="119"/>
      <c r="P396" s="119"/>
      <c r="Q396" s="135">
        <f t="shared" si="83"/>
        <v>0</v>
      </c>
      <c r="R396" s="135"/>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row>
    <row r="397" spans="1:41" ht="15.75" customHeight="1">
      <c r="A397" s="102" t="s">
        <v>189</v>
      </c>
      <c r="B397" s="597">
        <f>('Pivot Table for Data Exchange'!$R$510)*100</f>
        <v>0</v>
      </c>
      <c r="C397" s="597">
        <f>('Pivot Table for Data Exchange'!$R$513)*100</f>
        <v>0</v>
      </c>
      <c r="D397" s="603">
        <f t="shared" ref="D397" si="84">SUM(E397:G397)</f>
        <v>0</v>
      </c>
      <c r="E397" s="597">
        <f>('Pivot Table for Data Exchange'!$R$516)*100</f>
        <v>0</v>
      </c>
      <c r="F397" s="597">
        <f>('Pivot Table for Data Exchange'!$R$519)*100</f>
        <v>0</v>
      </c>
      <c r="G397" s="599">
        <f>('Pivot Table for Data Exchange'!$R$522)*100</f>
        <v>0</v>
      </c>
      <c r="H397" s="597">
        <f>('Pivot Table for Data Exchange'!$R$525)*100</f>
        <v>0</v>
      </c>
      <c r="I397" s="102"/>
      <c r="J397" s="119"/>
      <c r="K397" s="119"/>
      <c r="L397" s="119"/>
      <c r="M397" s="119"/>
      <c r="N397" s="119"/>
      <c r="O397" s="119"/>
      <c r="P397" s="119"/>
      <c r="Q397" s="135">
        <f t="shared" si="83"/>
        <v>0</v>
      </c>
      <c r="R397" s="135"/>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row>
    <row r="398" spans="1:41" ht="15.75" customHeight="1">
      <c r="A398" s="76" t="s">
        <v>190</v>
      </c>
      <c r="B398" s="600">
        <f>('Pivot Table for Data Exchange'!$R$546)*100</f>
        <v>0</v>
      </c>
      <c r="C398" s="600">
        <f>('Pivot Table for Data Exchange'!$R$549)*100</f>
        <v>0</v>
      </c>
      <c r="D398" s="604">
        <f>SUM(E398:G398)</f>
        <v>0</v>
      </c>
      <c r="E398" s="600">
        <f>('Pivot Table for Data Exchange'!$R$552)*100</f>
        <v>0</v>
      </c>
      <c r="F398" s="600">
        <f>('Pivot Table for Data Exchange'!$R$555)*100</f>
        <v>0</v>
      </c>
      <c r="G398" s="601">
        <f>('Pivot Table for Data Exchange'!$R$558)*100</f>
        <v>0</v>
      </c>
      <c r="H398" s="600">
        <f>('Pivot Table for Data Exchange'!$R$561)*100</f>
        <v>0</v>
      </c>
      <c r="I398" s="102"/>
      <c r="J398" s="119"/>
      <c r="K398" s="119"/>
      <c r="L398" s="119"/>
      <c r="M398" s="119"/>
      <c r="N398" s="119"/>
      <c r="O398" s="119"/>
      <c r="P398" s="119"/>
      <c r="Q398" s="135">
        <f t="shared" si="83"/>
        <v>0</v>
      </c>
      <c r="R398" s="135"/>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c r="AN398" s="100"/>
      <c r="AO398" s="100"/>
    </row>
    <row r="399" spans="1:41" s="45" customFormat="1" ht="18" customHeight="1">
      <c r="A399" s="43" t="s">
        <v>219</v>
      </c>
      <c r="B399" s="106"/>
      <c r="C399" s="106"/>
      <c r="D399" s="107"/>
      <c r="E399" s="106"/>
      <c r="F399" s="107"/>
      <c r="G399" s="107"/>
      <c r="H399" s="106"/>
      <c r="I399" s="43"/>
      <c r="J399" s="106"/>
      <c r="K399" s="106"/>
      <c r="L399" s="107"/>
      <c r="M399" s="106"/>
      <c r="N399" s="107"/>
      <c r="O399" s="107"/>
      <c r="P399" s="106"/>
      <c r="Q399" s="135">
        <f t="shared" si="83"/>
        <v>0</v>
      </c>
      <c r="R399" s="139"/>
      <c r="S399" s="108"/>
      <c r="T399" s="108"/>
      <c r="U399" s="108"/>
      <c r="V399" s="108"/>
      <c r="W399" s="108"/>
      <c r="X399" s="108"/>
      <c r="Y399" s="108"/>
      <c r="Z399" s="108"/>
      <c r="AA399" s="108"/>
      <c r="AB399" s="108"/>
      <c r="AC399" s="108"/>
      <c r="AD399" s="108"/>
      <c r="AE399" s="108"/>
      <c r="AF399" s="108"/>
      <c r="AG399" s="108"/>
      <c r="AH399" s="108"/>
      <c r="AI399" s="108"/>
      <c r="AJ399" s="108"/>
      <c r="AK399" s="108"/>
      <c r="AL399" s="108"/>
      <c r="AM399" s="108"/>
      <c r="AN399" s="108"/>
      <c r="AO399" s="108"/>
    </row>
    <row r="400" spans="1:41" s="45" customFormat="1" ht="18" customHeight="1">
      <c r="A400" s="43"/>
      <c r="B400" s="106"/>
      <c r="C400" s="106"/>
      <c r="D400" s="107"/>
      <c r="E400" s="106"/>
      <c r="F400" s="107"/>
      <c r="G400" s="107"/>
      <c r="H400" s="106"/>
      <c r="I400" s="43"/>
      <c r="J400" s="106"/>
      <c r="K400" s="106"/>
      <c r="L400" s="107"/>
      <c r="M400" s="106"/>
      <c r="N400" s="107"/>
      <c r="O400" s="107"/>
      <c r="P400" s="106"/>
      <c r="Q400" s="135">
        <f t="shared" si="83"/>
        <v>0</v>
      </c>
      <c r="R400" s="139"/>
      <c r="S400" s="108"/>
      <c r="T400" s="108"/>
      <c r="U400" s="108"/>
      <c r="V400" s="108"/>
      <c r="W400" s="108"/>
      <c r="X400" s="108"/>
      <c r="Y400" s="108"/>
      <c r="Z400" s="108"/>
      <c r="AA400" s="108"/>
      <c r="AB400" s="108"/>
      <c r="AC400" s="108"/>
      <c r="AD400" s="108"/>
      <c r="AE400" s="108"/>
      <c r="AF400" s="108"/>
      <c r="AG400" s="108"/>
      <c r="AH400" s="108"/>
      <c r="AI400" s="108"/>
      <c r="AJ400" s="108"/>
      <c r="AK400" s="108"/>
      <c r="AL400" s="108"/>
      <c r="AM400" s="108"/>
      <c r="AN400" s="108"/>
      <c r="AO400" s="108"/>
    </row>
    <row r="401" spans="1:41" s="102" customFormat="1" ht="15.75" customHeight="1">
      <c r="B401" s="121"/>
      <c r="C401" s="121"/>
      <c r="D401" s="121"/>
      <c r="E401" s="121"/>
      <c r="F401" s="121"/>
      <c r="G401" s="121"/>
      <c r="H401" s="49" t="s">
        <v>900</v>
      </c>
      <c r="J401" s="119"/>
      <c r="K401" s="119"/>
      <c r="L401" s="119"/>
      <c r="M401" s="119"/>
      <c r="N401" s="119"/>
      <c r="O401" s="119"/>
      <c r="P401" s="119"/>
      <c r="Q401" s="135">
        <f t="shared" si="83"/>
        <v>0</v>
      </c>
      <c r="R401" s="13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row>
    <row r="402" spans="1:41" ht="18">
      <c r="A402" s="16" t="s">
        <v>278</v>
      </c>
      <c r="B402" s="71"/>
      <c r="C402" s="71"/>
      <c r="D402" s="71"/>
      <c r="E402" s="71"/>
      <c r="F402" s="71"/>
      <c r="G402" s="71"/>
      <c r="H402" s="72"/>
      <c r="I402" s="118"/>
      <c r="J402" s="102"/>
      <c r="K402" s="102"/>
      <c r="L402" s="102"/>
      <c r="M402" s="102"/>
      <c r="N402" s="102"/>
      <c r="O402" s="102"/>
      <c r="P402" s="102"/>
      <c r="Q402" s="135">
        <f t="shared" si="83"/>
        <v>0</v>
      </c>
    </row>
    <row r="403" spans="1:41">
      <c r="A403" s="22"/>
      <c r="B403" s="23"/>
      <c r="C403" s="23"/>
      <c r="D403" s="23"/>
      <c r="E403" s="23"/>
      <c r="F403" s="23"/>
      <c r="G403" s="23"/>
      <c r="H403" s="73"/>
      <c r="I403" s="118"/>
      <c r="J403" s="102"/>
      <c r="K403" s="102"/>
      <c r="L403" s="102"/>
      <c r="M403" s="102"/>
      <c r="N403" s="102"/>
      <c r="O403" s="102"/>
      <c r="P403" s="102"/>
      <c r="Q403" s="135">
        <f t="shared" si="83"/>
        <v>0</v>
      </c>
    </row>
    <row r="404" spans="1:41" ht="15.75">
      <c r="A404" s="74" t="s">
        <v>205</v>
      </c>
      <c r="B404" s="23"/>
      <c r="C404" s="23"/>
      <c r="D404" s="23"/>
      <c r="E404" s="23"/>
      <c r="F404" s="23"/>
      <c r="G404" s="23"/>
      <c r="H404" s="73"/>
      <c r="I404" s="118"/>
      <c r="J404" s="102"/>
      <c r="K404" s="102"/>
      <c r="L404" s="102"/>
      <c r="M404" s="102"/>
      <c r="N404" s="102"/>
      <c r="O404" s="102"/>
      <c r="P404" s="102"/>
      <c r="Q404" s="135">
        <f t="shared" si="83"/>
        <v>0</v>
      </c>
    </row>
    <row r="405" spans="1:41" ht="15.75">
      <c r="A405" s="74" t="s">
        <v>248</v>
      </c>
      <c r="B405" s="23"/>
      <c r="C405" s="23"/>
      <c r="D405" s="23"/>
      <c r="E405" s="23"/>
      <c r="F405" s="23"/>
      <c r="G405" s="23"/>
      <c r="H405" s="73"/>
      <c r="I405" s="118"/>
      <c r="J405" s="102"/>
      <c r="K405" s="102"/>
      <c r="L405" s="102"/>
      <c r="M405" s="102"/>
      <c r="N405" s="102"/>
      <c r="O405" s="102"/>
      <c r="P405" s="102"/>
      <c r="Q405" s="135">
        <f t="shared" si="83"/>
        <v>0</v>
      </c>
    </row>
    <row r="406" spans="1:41">
      <c r="A406" s="76"/>
      <c r="B406" s="77"/>
      <c r="C406" s="77"/>
      <c r="D406" s="77"/>
      <c r="E406" s="77"/>
      <c r="F406" s="77"/>
      <c r="G406" s="77"/>
      <c r="H406" s="77"/>
      <c r="I406" s="118"/>
      <c r="J406" s="102"/>
      <c r="K406" s="102"/>
      <c r="L406" s="102"/>
      <c r="M406" s="102"/>
      <c r="N406" s="102"/>
      <c r="O406" s="102"/>
      <c r="P406" s="102"/>
      <c r="Q406" s="135">
        <f t="shared" si="83"/>
        <v>0</v>
      </c>
    </row>
    <row r="407" spans="1:41">
      <c r="A407" s="80"/>
      <c r="B407" s="81" t="s">
        <v>207</v>
      </c>
      <c r="C407" s="81"/>
      <c r="D407" s="81"/>
      <c r="E407" s="81"/>
      <c r="F407" s="81"/>
      <c r="G407" s="81"/>
      <c r="H407" s="82"/>
      <c r="I407" s="118"/>
      <c r="J407" s="102"/>
      <c r="K407" s="102"/>
      <c r="L407" s="102"/>
      <c r="M407" s="102"/>
      <c r="N407" s="102"/>
      <c r="O407" s="102"/>
      <c r="P407" s="102"/>
      <c r="Q407" s="135">
        <f t="shared" si="83"/>
        <v>0</v>
      </c>
    </row>
    <row r="408" spans="1:41">
      <c r="A408" s="80"/>
      <c r="B408" s="81" t="s">
        <v>208</v>
      </c>
      <c r="C408" s="81"/>
      <c r="D408" s="653" t="s">
        <v>209</v>
      </c>
      <c r="E408" s="654"/>
      <c r="F408" s="654"/>
      <c r="G408" s="654"/>
      <c r="H408" s="86" t="s">
        <v>39</v>
      </c>
      <c r="I408" s="118"/>
      <c r="J408" s="102"/>
      <c r="K408" s="102"/>
      <c r="L408" s="102"/>
      <c r="M408" s="102"/>
      <c r="N408" s="102"/>
      <c r="O408" s="102"/>
      <c r="P408" s="102"/>
      <c r="Q408" s="135">
        <f t="shared" si="83"/>
        <v>0</v>
      </c>
    </row>
    <row r="409" spans="1:41" ht="36">
      <c r="A409" s="80"/>
      <c r="B409" s="87" t="s">
        <v>210</v>
      </c>
      <c r="C409" s="88" t="s">
        <v>211</v>
      </c>
      <c r="D409" s="89" t="s">
        <v>212</v>
      </c>
      <c r="E409" s="90" t="s">
        <v>7</v>
      </c>
      <c r="F409" s="87" t="s">
        <v>213</v>
      </c>
      <c r="G409" s="91" t="s">
        <v>214</v>
      </c>
      <c r="H409" s="92" t="s">
        <v>215</v>
      </c>
      <c r="I409" s="118"/>
      <c r="J409" s="102"/>
      <c r="K409" s="102"/>
      <c r="L409" s="102"/>
      <c r="M409" s="102"/>
      <c r="N409" s="102"/>
      <c r="O409" s="102"/>
      <c r="P409" s="102"/>
      <c r="Q409" s="135">
        <f t="shared" si="83"/>
        <v>0</v>
      </c>
    </row>
    <row r="410" spans="1:41" ht="15.75" customHeight="1">
      <c r="A410" s="99" t="s">
        <v>175</v>
      </c>
      <c r="B410" s="597">
        <f>('Pivot Table for Data Exchange'!$P$6)*100</f>
        <v>40.227688718144698</v>
      </c>
      <c r="C410" s="597">
        <f>('Pivot Table for Data Exchange'!$P$9)*100</f>
        <v>52.249733491562246</v>
      </c>
      <c r="D410" s="603">
        <f>SUM(E410:G410)</f>
        <v>7.5225777902930586</v>
      </c>
      <c r="E410" s="597">
        <f>('Pivot Table for Data Exchange'!$P$12)*100</f>
        <v>7.5225777902930586</v>
      </c>
      <c r="F410" s="597">
        <f>('Pivot Table for Data Exchange'!$P$15)*100</f>
        <v>0</v>
      </c>
      <c r="G410" s="97">
        <f>('Pivot Table for Data Exchange'!$P$18)*100</f>
        <v>0</v>
      </c>
      <c r="H410" s="597">
        <f>('Pivot Table for Data Exchange'!$P$21)*100</f>
        <v>0</v>
      </c>
      <c r="I410" s="102"/>
      <c r="J410" s="119"/>
      <c r="K410" s="119"/>
      <c r="L410" s="119"/>
      <c r="M410" s="119"/>
      <c r="N410" s="119"/>
      <c r="O410" s="119"/>
      <c r="P410" s="119"/>
      <c r="Q410" s="135">
        <f t="shared" si="83"/>
        <v>100</v>
      </c>
      <c r="R410" s="135"/>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row>
    <row r="411" spans="1:41" ht="15.75" customHeight="1">
      <c r="A411" s="102" t="s">
        <v>176</v>
      </c>
      <c r="B411" s="597">
        <f>('Pivot Table for Data Exchange'!$P$42)*100</f>
        <v>0</v>
      </c>
      <c r="C411" s="597">
        <f>('Pivot Table for Data Exchange'!$P$45)*100</f>
        <v>0</v>
      </c>
      <c r="D411" s="603">
        <f t="shared" ref="D411:D413" si="85">SUM(E411:G411)</f>
        <v>0</v>
      </c>
      <c r="E411" s="597">
        <f>('Pivot Table for Data Exchange'!$P$48)*100</f>
        <v>0</v>
      </c>
      <c r="F411" s="597">
        <f>('Pivot Table for Data Exchange'!$P$51)*100</f>
        <v>0</v>
      </c>
      <c r="G411" s="599">
        <f>('Pivot Table for Data Exchange'!$P$54)*100</f>
        <v>0</v>
      </c>
      <c r="H411" s="597">
        <f>('Pivot Table for Data Exchange'!$P$57)*100</f>
        <v>0</v>
      </c>
      <c r="I411" s="102"/>
      <c r="J411" s="119"/>
      <c r="K411" s="119"/>
      <c r="L411" s="119"/>
      <c r="M411" s="119"/>
      <c r="N411" s="119"/>
      <c r="O411" s="119"/>
      <c r="P411" s="119"/>
      <c r="Q411" s="135">
        <f t="shared" si="83"/>
        <v>0</v>
      </c>
      <c r="R411" s="135"/>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c r="AN411" s="100"/>
      <c r="AO411" s="100"/>
    </row>
    <row r="412" spans="1:41" ht="15.75" customHeight="1">
      <c r="A412" s="102" t="s">
        <v>177</v>
      </c>
      <c r="B412" s="597">
        <f>('Pivot Table for Data Exchange'!$P$78)*100</f>
        <v>0</v>
      </c>
      <c r="C412" s="597">
        <f>('Pivot Table for Data Exchange'!$P$81)*100</f>
        <v>0</v>
      </c>
      <c r="D412" s="603">
        <f t="shared" si="85"/>
        <v>0</v>
      </c>
      <c r="E412" s="597">
        <f>('Pivot Table for Data Exchange'!$P$84)*100</f>
        <v>0</v>
      </c>
      <c r="F412" s="597">
        <f>('Pivot Table for Data Exchange'!$P$87)*100</f>
        <v>0</v>
      </c>
      <c r="G412" s="599">
        <f>('Pivot Table for Data Exchange'!$P$90)*100</f>
        <v>0</v>
      </c>
      <c r="H412" s="597">
        <f>('Pivot Table for Data Exchange'!$P$93)*100</f>
        <v>0</v>
      </c>
      <c r="I412" s="102"/>
      <c r="J412" s="119"/>
      <c r="K412" s="119"/>
      <c r="L412" s="119"/>
      <c r="M412" s="119"/>
      <c r="N412" s="119"/>
      <c r="O412" s="119"/>
      <c r="P412" s="119"/>
      <c r="Q412" s="135">
        <f t="shared" si="83"/>
        <v>0</v>
      </c>
      <c r="R412" s="135"/>
      <c r="S412" s="100"/>
      <c r="T412" s="112"/>
      <c r="U412" s="100"/>
      <c r="V412" s="100"/>
      <c r="W412" s="100"/>
      <c r="X412" s="100"/>
      <c r="Y412" s="100"/>
      <c r="Z412" s="100"/>
      <c r="AA412" s="100"/>
      <c r="AB412" s="100"/>
      <c r="AC412" s="100"/>
      <c r="AD412" s="100"/>
      <c r="AE412" s="100"/>
      <c r="AF412" s="100"/>
      <c r="AG412" s="100"/>
      <c r="AH412" s="100"/>
      <c r="AI412" s="100"/>
      <c r="AJ412" s="100"/>
      <c r="AK412" s="100"/>
      <c r="AL412" s="100"/>
      <c r="AM412" s="100"/>
      <c r="AN412" s="100"/>
      <c r="AO412" s="100"/>
    </row>
    <row r="413" spans="1:41" ht="15.75" customHeight="1">
      <c r="A413" s="102" t="s">
        <v>178</v>
      </c>
      <c r="B413" s="597">
        <f>('Pivot Table for Data Exchange'!$P$114)*100</f>
        <v>0</v>
      </c>
      <c r="C413" s="597">
        <f>('Pivot Table for Data Exchange'!$P$117)*100</f>
        <v>0</v>
      </c>
      <c r="D413" s="603">
        <f t="shared" si="85"/>
        <v>0</v>
      </c>
      <c r="E413" s="597">
        <f>('Pivot Table for Data Exchange'!$P$120)*100</f>
        <v>0</v>
      </c>
      <c r="F413" s="597">
        <f>('Pivot Table for Data Exchange'!$P$123)*100</f>
        <v>0</v>
      </c>
      <c r="G413" s="599">
        <f>('Pivot Table for Data Exchange'!$P$126)*100</f>
        <v>0</v>
      </c>
      <c r="H413" s="597">
        <f>('Pivot Table for Data Exchange'!$P$129)*100</f>
        <v>0</v>
      </c>
      <c r="I413" s="102"/>
      <c r="J413" s="119"/>
      <c r="K413" s="119"/>
      <c r="L413" s="119"/>
      <c r="M413" s="119"/>
      <c r="N413" s="119"/>
      <c r="O413" s="119"/>
      <c r="P413" s="119"/>
      <c r="Q413" s="135">
        <f t="shared" si="83"/>
        <v>0</v>
      </c>
      <c r="R413" s="135"/>
      <c r="S413" s="100"/>
      <c r="U413" s="100"/>
      <c r="V413" s="100"/>
      <c r="W413" s="100"/>
      <c r="X413" s="100"/>
      <c r="Y413" s="100"/>
      <c r="Z413" s="100"/>
      <c r="AA413" s="100"/>
      <c r="AB413" s="100"/>
      <c r="AC413" s="100"/>
      <c r="AD413" s="100"/>
      <c r="AE413" s="100"/>
      <c r="AF413" s="100"/>
      <c r="AG413" s="100"/>
      <c r="AH413" s="100"/>
      <c r="AI413" s="100"/>
      <c r="AJ413" s="100"/>
      <c r="AK413" s="100"/>
      <c r="AL413" s="100"/>
      <c r="AM413" s="100"/>
      <c r="AN413" s="100"/>
      <c r="AO413" s="100"/>
    </row>
    <row r="414" spans="1:41" ht="15.75" customHeight="1">
      <c r="A414" s="102"/>
      <c r="B414" s="597"/>
      <c r="C414" s="597"/>
      <c r="D414" s="603"/>
      <c r="E414" s="597"/>
      <c r="F414" s="597"/>
      <c r="G414" s="599"/>
      <c r="H414" s="597"/>
      <c r="I414" s="102"/>
      <c r="J414" s="119"/>
      <c r="K414" s="119"/>
      <c r="L414" s="119"/>
      <c r="M414" s="119"/>
      <c r="N414" s="119"/>
      <c r="O414" s="119"/>
      <c r="P414" s="119"/>
      <c r="Q414" s="135">
        <f t="shared" si="83"/>
        <v>0</v>
      </c>
      <c r="R414" s="135"/>
      <c r="S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row>
    <row r="415" spans="1:41" ht="15.75" customHeight="1">
      <c r="A415" s="102" t="s">
        <v>179</v>
      </c>
      <c r="B415" s="597">
        <f>('Pivot Table for Data Exchange'!$P$150)*100</f>
        <v>80.024061191603707</v>
      </c>
      <c r="C415" s="597">
        <f>('Pivot Table for Data Exchange'!$P$153)*100</f>
        <v>0</v>
      </c>
      <c r="D415" s="603">
        <f t="shared" ref="D415:D418" si="86">SUM(E415:G415)</f>
        <v>19.975938808396311</v>
      </c>
      <c r="E415" s="597">
        <f>('Pivot Table for Data Exchange'!$P$156)*100</f>
        <v>19.775662501708783</v>
      </c>
      <c r="F415" s="597">
        <f>('Pivot Table for Data Exchange'!$P$159)*100</f>
        <v>0.20027630668752716</v>
      </c>
      <c r="G415" s="599">
        <f>('Pivot Table for Data Exchange'!$P$162)*100</f>
        <v>0</v>
      </c>
      <c r="H415" s="597">
        <f>('Pivot Table for Data Exchange'!$P$165)*100</f>
        <v>0</v>
      </c>
      <c r="I415" s="102"/>
      <c r="J415" s="119"/>
      <c r="K415" s="119"/>
      <c r="L415" s="119"/>
      <c r="M415" s="119"/>
      <c r="N415" s="119"/>
      <c r="O415" s="119"/>
      <c r="P415" s="119"/>
      <c r="Q415" s="135">
        <f t="shared" si="83"/>
        <v>100.00000000000001</v>
      </c>
      <c r="R415" s="135"/>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c r="AN415" s="100"/>
      <c r="AO415" s="100"/>
    </row>
    <row r="416" spans="1:41" ht="15.75" customHeight="1">
      <c r="A416" s="102" t="s">
        <v>180</v>
      </c>
      <c r="B416" s="597">
        <f>('Pivot Table for Data Exchange'!$P$186)*100</f>
        <v>91.870314760821032</v>
      </c>
      <c r="C416" s="597">
        <f>('Pivot Table for Data Exchange'!$P$189)*100</f>
        <v>0.58894956119622199</v>
      </c>
      <c r="D416" s="603">
        <f t="shared" si="86"/>
        <v>7.540735677982739</v>
      </c>
      <c r="E416" s="597">
        <f>('Pivot Table for Data Exchange'!$P$192)*100</f>
        <v>7.540735677982739</v>
      </c>
      <c r="F416" s="597">
        <f>('Pivot Table for Data Exchange'!$P$195)*100</f>
        <v>0</v>
      </c>
      <c r="G416" s="599">
        <f>('Pivot Table for Data Exchange'!$P$198)*100</f>
        <v>0</v>
      </c>
      <c r="H416" s="597">
        <f>('Pivot Table for Data Exchange'!$P$201)*100</f>
        <v>0</v>
      </c>
      <c r="I416" s="102"/>
      <c r="J416" s="119"/>
      <c r="K416" s="119"/>
      <c r="L416" s="119"/>
      <c r="M416" s="119"/>
      <c r="N416" s="119"/>
      <c r="O416" s="119"/>
      <c r="P416" s="119"/>
      <c r="Q416" s="135">
        <f t="shared" si="83"/>
        <v>99.999999999999986</v>
      </c>
      <c r="R416" s="135"/>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row>
    <row r="417" spans="1:41" ht="15.75" customHeight="1">
      <c r="A417" s="102" t="s">
        <v>181</v>
      </c>
      <c r="B417" s="597">
        <f>('Pivot Table for Data Exchange'!$P$222)*100</f>
        <v>0</v>
      </c>
      <c r="C417" s="597">
        <f>('Pivot Table for Data Exchange'!$P$225)*100</f>
        <v>0</v>
      </c>
      <c r="D417" s="603">
        <f t="shared" si="86"/>
        <v>0</v>
      </c>
      <c r="E417" s="597">
        <f>('Pivot Table for Data Exchange'!$P$228)*100</f>
        <v>0</v>
      </c>
      <c r="F417" s="597">
        <f>('Pivot Table for Data Exchange'!$P$231)*100</f>
        <v>0</v>
      </c>
      <c r="G417" s="599">
        <f>('Pivot Table for Data Exchange'!$P$234)*100</f>
        <v>0</v>
      </c>
      <c r="H417" s="597">
        <f>('Pivot Table for Data Exchange'!$P$237)*100</f>
        <v>0</v>
      </c>
      <c r="I417" s="124"/>
      <c r="J417" s="119"/>
      <c r="K417" s="119"/>
      <c r="L417" s="119"/>
      <c r="M417" s="119"/>
      <c r="N417" s="119"/>
      <c r="O417" s="119"/>
      <c r="P417" s="119"/>
      <c r="Q417" s="135">
        <f>SUM(I417,C417,D417,H417)</f>
        <v>0</v>
      </c>
      <c r="R417" s="135"/>
      <c r="S417" s="100"/>
      <c r="T417" s="112"/>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row>
    <row r="418" spans="1:41" ht="15.75" customHeight="1">
      <c r="A418" s="102" t="s">
        <v>222</v>
      </c>
      <c r="B418" s="597">
        <f>('Pivot Table for Data Exchange'!$P$258)*100</f>
        <v>0</v>
      </c>
      <c r="C418" s="597">
        <f>('Pivot Table for Data Exchange'!$P$261)*100</f>
        <v>0</v>
      </c>
      <c r="D418" s="603">
        <f t="shared" si="86"/>
        <v>0</v>
      </c>
      <c r="E418" s="597">
        <f>('Pivot Table for Data Exchange'!$P$264)*100</f>
        <v>0</v>
      </c>
      <c r="F418" s="597">
        <f>('Pivot Table for Data Exchange'!$P$267)*100</f>
        <v>0</v>
      </c>
      <c r="G418" s="599">
        <f>('Pivot Table for Data Exchange'!$P$270)*100</f>
        <v>0</v>
      </c>
      <c r="H418" s="597">
        <f>('Pivot Table for Data Exchange'!$P$273)*100</f>
        <v>0</v>
      </c>
      <c r="I418" s="102"/>
      <c r="J418" s="119"/>
      <c r="K418" s="119"/>
      <c r="L418" s="119"/>
      <c r="M418" s="119"/>
      <c r="N418" s="119"/>
      <c r="O418" s="119"/>
      <c r="P418" s="119"/>
      <c r="Q418" s="135">
        <f t="shared" si="83"/>
        <v>0</v>
      </c>
      <c r="R418" s="135"/>
      <c r="S418" s="100"/>
      <c r="U418" s="100"/>
      <c r="V418" s="100"/>
      <c r="W418" s="100"/>
      <c r="X418" s="100"/>
      <c r="Y418" s="100"/>
      <c r="Z418" s="100"/>
      <c r="AA418" s="100"/>
      <c r="AB418" s="100"/>
      <c r="AC418" s="100"/>
      <c r="AD418" s="100"/>
      <c r="AE418" s="100"/>
      <c r="AF418" s="100"/>
      <c r="AG418" s="100"/>
      <c r="AH418" s="100"/>
      <c r="AI418" s="100"/>
      <c r="AJ418" s="100"/>
      <c r="AK418" s="100"/>
      <c r="AL418" s="100"/>
      <c r="AM418" s="100"/>
      <c r="AN418" s="100"/>
      <c r="AO418" s="100"/>
    </row>
    <row r="419" spans="1:41" ht="15.75" customHeight="1">
      <c r="A419" s="102"/>
      <c r="B419" s="597"/>
      <c r="C419" s="597"/>
      <c r="D419" s="603"/>
      <c r="E419" s="597"/>
      <c r="F419" s="597"/>
      <c r="G419" s="599"/>
      <c r="H419" s="597"/>
      <c r="I419" s="102"/>
      <c r="J419" s="119"/>
      <c r="K419" s="119"/>
      <c r="L419" s="119"/>
      <c r="M419" s="119"/>
      <c r="N419" s="119"/>
      <c r="O419" s="119"/>
      <c r="P419" s="119"/>
      <c r="Q419" s="135">
        <f t="shared" si="83"/>
        <v>0</v>
      </c>
      <c r="R419" s="135"/>
      <c r="S419" s="100"/>
      <c r="U419" s="100"/>
      <c r="V419" s="100"/>
      <c r="W419" s="100"/>
      <c r="X419" s="100"/>
      <c r="Y419" s="100"/>
      <c r="Z419" s="100"/>
      <c r="AA419" s="100"/>
      <c r="AB419" s="100"/>
      <c r="AC419" s="100"/>
      <c r="AD419" s="100"/>
      <c r="AE419" s="100"/>
      <c r="AF419" s="100"/>
      <c r="AG419" s="100"/>
      <c r="AH419" s="100"/>
      <c r="AI419" s="100"/>
      <c r="AJ419" s="100"/>
      <c r="AK419" s="100"/>
      <c r="AL419" s="100"/>
      <c r="AM419" s="100"/>
      <c r="AN419" s="100"/>
      <c r="AO419" s="100"/>
    </row>
    <row r="420" spans="1:41" ht="15.75" customHeight="1">
      <c r="A420" s="102" t="s">
        <v>183</v>
      </c>
      <c r="B420" s="597">
        <f>('Pivot Table for Data Exchange'!$P$294)*100</f>
        <v>0</v>
      </c>
      <c r="C420" s="597">
        <f>('Pivot Table for Data Exchange'!$P$297)*100</f>
        <v>0</v>
      </c>
      <c r="D420" s="603">
        <f t="shared" ref="D420:D422" si="87">SUM(E420:G420)</f>
        <v>0</v>
      </c>
      <c r="E420" s="597">
        <f>('Pivot Table for Data Exchange'!$P$300)*100</f>
        <v>0</v>
      </c>
      <c r="F420" s="597">
        <f>('Pivot Table for Data Exchange'!$P$303)*100</f>
        <v>0</v>
      </c>
      <c r="G420" s="599">
        <f>('Pivot Table for Data Exchange'!$P$306)*100</f>
        <v>0</v>
      </c>
      <c r="H420" s="597">
        <f>('Pivot Table for Data Exchange'!$P$309)*100</f>
        <v>0</v>
      </c>
      <c r="I420" s="102"/>
      <c r="J420" s="119"/>
      <c r="K420" s="119"/>
      <c r="L420" s="119"/>
      <c r="M420" s="119"/>
      <c r="N420" s="119"/>
      <c r="O420" s="119"/>
      <c r="P420" s="119"/>
      <c r="Q420" s="135">
        <f t="shared" si="83"/>
        <v>0</v>
      </c>
      <c r="R420" s="135"/>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c r="AN420" s="100"/>
      <c r="AO420" s="100"/>
    </row>
    <row r="421" spans="1:41" ht="15.75" customHeight="1">
      <c r="A421" s="102" t="s">
        <v>184</v>
      </c>
      <c r="B421" s="597">
        <f>('Pivot Table for Data Exchange'!$P$330)*100</f>
        <v>0</v>
      </c>
      <c r="C421" s="597">
        <f>('Pivot Table for Data Exchange'!$P$333)*100</f>
        <v>0</v>
      </c>
      <c r="D421" s="603">
        <f t="shared" si="87"/>
        <v>0</v>
      </c>
      <c r="E421" s="597">
        <f>('Pivot Table for Data Exchange'!$P$336)*100</f>
        <v>0</v>
      </c>
      <c r="F421" s="597">
        <f>('Pivot Table for Data Exchange'!$P$339)*100</f>
        <v>0</v>
      </c>
      <c r="G421" s="599">
        <f>('Pivot Table for Data Exchange'!$P$342)*100</f>
        <v>0</v>
      </c>
      <c r="H421" s="597">
        <f>('Pivot Table for Data Exchange'!$P$345)*100</f>
        <v>0</v>
      </c>
      <c r="I421" s="102"/>
      <c r="J421" s="119"/>
      <c r="K421" s="119"/>
      <c r="L421" s="119"/>
      <c r="M421" s="119"/>
      <c r="N421" s="119"/>
      <c r="O421" s="119"/>
      <c r="P421" s="119"/>
      <c r="Q421" s="135">
        <f t="shared" si="83"/>
        <v>0</v>
      </c>
      <c r="R421" s="135"/>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c r="AN421" s="100"/>
      <c r="AO421" s="100"/>
    </row>
    <row r="422" spans="1:41" ht="15.75" customHeight="1">
      <c r="A422" s="102" t="s">
        <v>185</v>
      </c>
      <c r="B422" s="597">
        <f>('Pivot Table for Data Exchange'!$P$366)*100</f>
        <v>0</v>
      </c>
      <c r="C422" s="597">
        <f>('Pivot Table for Data Exchange'!$P$369)*100</f>
        <v>0</v>
      </c>
      <c r="D422" s="603">
        <f t="shared" si="87"/>
        <v>0</v>
      </c>
      <c r="E422" s="597">
        <f>('Pivot Table for Data Exchange'!$P$372)*100</f>
        <v>0</v>
      </c>
      <c r="F422" s="597">
        <f>('Pivot Table for Data Exchange'!$P$375)*100</f>
        <v>0</v>
      </c>
      <c r="G422" s="599">
        <f>('Pivot Table for Data Exchange'!$P$378)*100</f>
        <v>0</v>
      </c>
      <c r="H422" s="597">
        <f>('Pivot Table for Data Exchange'!$P$381)*100</f>
        <v>0</v>
      </c>
      <c r="I422" s="102"/>
      <c r="J422" s="119"/>
      <c r="K422" s="119"/>
      <c r="L422" s="119"/>
      <c r="M422" s="119"/>
      <c r="N422" s="119"/>
      <c r="O422" s="119"/>
      <c r="P422" s="119"/>
      <c r="Q422" s="135">
        <f t="shared" si="83"/>
        <v>0</v>
      </c>
      <c r="R422" s="135"/>
      <c r="S422" s="100"/>
      <c r="T422" s="112"/>
      <c r="U422" s="100"/>
      <c r="V422" s="100"/>
      <c r="W422" s="100"/>
      <c r="X422" s="100"/>
      <c r="Y422" s="100"/>
      <c r="Z422" s="100"/>
      <c r="AA422" s="100"/>
      <c r="AB422" s="100"/>
      <c r="AC422" s="100"/>
      <c r="AD422" s="100"/>
      <c r="AE422" s="100"/>
      <c r="AF422" s="100"/>
      <c r="AG422" s="100"/>
      <c r="AH422" s="100"/>
      <c r="AI422" s="100"/>
      <c r="AJ422" s="100"/>
      <c r="AK422" s="100"/>
      <c r="AL422" s="100"/>
      <c r="AM422" s="100"/>
      <c r="AN422" s="100"/>
      <c r="AO422" s="100"/>
    </row>
    <row r="423" spans="1:41" ht="15.75" customHeight="1">
      <c r="A423" s="102" t="s">
        <v>186</v>
      </c>
      <c r="B423" s="597">
        <f>('Pivot Table for Data Exchange'!$P$402)*100</f>
        <v>0</v>
      </c>
      <c r="C423" s="597">
        <f>('Pivot Table for Data Exchange'!$P$405)*100</f>
        <v>0</v>
      </c>
      <c r="D423" s="603">
        <f>SUM(E423:G423)</f>
        <v>0</v>
      </c>
      <c r="E423" s="597">
        <f>('Pivot Table for Data Exchange'!$P$408)*100</f>
        <v>0</v>
      </c>
      <c r="F423" s="597">
        <f>('Pivot Table for Data Exchange'!$P$411)*100</f>
        <v>0</v>
      </c>
      <c r="G423" s="599">
        <f>('Pivot Table for Data Exchange'!$P$414)*100</f>
        <v>0</v>
      </c>
      <c r="H423" s="597">
        <f>('Pivot Table for Data Exchange'!$P$417)*100</f>
        <v>0</v>
      </c>
      <c r="I423" s="102"/>
      <c r="J423" s="119"/>
      <c r="K423" s="119"/>
      <c r="L423" s="119"/>
      <c r="M423" s="119"/>
      <c r="N423" s="119"/>
      <c r="O423" s="119"/>
      <c r="P423" s="119"/>
      <c r="Q423" s="135">
        <f t="shared" si="83"/>
        <v>0</v>
      </c>
      <c r="R423" s="135"/>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00"/>
      <c r="AN423" s="100"/>
      <c r="AO423" s="100"/>
    </row>
    <row r="424" spans="1:41" ht="15.75" customHeight="1">
      <c r="A424" s="102"/>
      <c r="B424" s="597"/>
      <c r="C424" s="597"/>
      <c r="D424" s="603"/>
      <c r="E424" s="597"/>
      <c r="F424" s="597"/>
      <c r="G424" s="599"/>
      <c r="H424" s="597"/>
      <c r="I424" s="102"/>
      <c r="J424" s="119"/>
      <c r="K424" s="119"/>
      <c r="L424" s="119"/>
      <c r="M424" s="119"/>
      <c r="N424" s="119"/>
      <c r="O424" s="119"/>
      <c r="P424" s="119"/>
      <c r="Q424" s="135">
        <f t="shared" si="83"/>
        <v>0</v>
      </c>
      <c r="R424" s="135"/>
      <c r="S424" s="100"/>
      <c r="T424" s="100"/>
      <c r="U424" s="100"/>
      <c r="V424" s="100"/>
      <c r="W424" s="100"/>
      <c r="X424" s="100"/>
      <c r="Y424" s="100"/>
      <c r="Z424" s="100"/>
      <c r="AA424" s="100"/>
      <c r="AB424" s="100"/>
      <c r="AC424" s="100"/>
      <c r="AD424" s="100"/>
      <c r="AE424" s="100"/>
      <c r="AF424" s="100"/>
      <c r="AG424" s="100"/>
      <c r="AH424" s="100"/>
      <c r="AI424" s="100"/>
      <c r="AJ424" s="100"/>
      <c r="AK424" s="100"/>
      <c r="AL424" s="100"/>
      <c r="AM424" s="100"/>
      <c r="AN424" s="100"/>
      <c r="AO424" s="100"/>
    </row>
    <row r="425" spans="1:41" ht="15.75" customHeight="1">
      <c r="A425" s="102" t="s">
        <v>187</v>
      </c>
      <c r="B425" s="597">
        <f>('Pivot Table for Data Exchange'!$P$438)*100</f>
        <v>0</v>
      </c>
      <c r="C425" s="597">
        <f>('Pivot Table for Data Exchange'!$P$441)*100</f>
        <v>0</v>
      </c>
      <c r="D425" s="603">
        <f>SUM(E425:G425)</f>
        <v>0</v>
      </c>
      <c r="E425" s="597">
        <f>('Pivot Table for Data Exchange'!$P$444)*100</f>
        <v>0</v>
      </c>
      <c r="F425" s="597">
        <f>('Pivot Table for Data Exchange'!$P$447)*100</f>
        <v>0</v>
      </c>
      <c r="G425" s="599">
        <f>('Pivot Table for Data Exchange'!$P$450)*100</f>
        <v>0</v>
      </c>
      <c r="H425" s="597">
        <f>('Pivot Table for Data Exchange'!$P$453)*100</f>
        <v>0</v>
      </c>
      <c r="I425" s="102"/>
      <c r="J425" s="119"/>
      <c r="K425" s="119"/>
      <c r="L425" s="119"/>
      <c r="M425" s="119"/>
      <c r="N425" s="119"/>
      <c r="O425" s="119"/>
      <c r="P425" s="119"/>
      <c r="Q425" s="135">
        <f t="shared" si="83"/>
        <v>0</v>
      </c>
      <c r="R425" s="135"/>
      <c r="S425" s="100"/>
      <c r="T425" s="100"/>
      <c r="U425" s="100"/>
      <c r="V425" s="100"/>
      <c r="W425" s="100"/>
      <c r="X425" s="100"/>
      <c r="Y425" s="100"/>
      <c r="Z425" s="100"/>
      <c r="AA425" s="100"/>
      <c r="AB425" s="100"/>
      <c r="AC425" s="100"/>
      <c r="AD425" s="100"/>
      <c r="AE425" s="100"/>
      <c r="AF425" s="100"/>
      <c r="AG425" s="100"/>
      <c r="AH425" s="100"/>
      <c r="AI425" s="100"/>
      <c r="AJ425" s="100"/>
      <c r="AK425" s="100"/>
      <c r="AL425" s="100"/>
      <c r="AM425" s="100"/>
      <c r="AN425" s="100"/>
      <c r="AO425" s="100"/>
    </row>
    <row r="426" spans="1:41" ht="15.75" customHeight="1">
      <c r="A426" s="102" t="s">
        <v>188</v>
      </c>
      <c r="B426" s="597">
        <f>('Pivot Table for Data Exchange'!$P$474)*100</f>
        <v>0</v>
      </c>
      <c r="C426" s="597">
        <f>('Pivot Table for Data Exchange'!$P$477)*100</f>
        <v>0</v>
      </c>
      <c r="D426" s="603">
        <f>SUM(E426:G426)</f>
        <v>0</v>
      </c>
      <c r="E426" s="597">
        <f>('Pivot Table for Data Exchange'!$P$480)*100</f>
        <v>0</v>
      </c>
      <c r="F426" s="597">
        <f>('Pivot Table for Data Exchange'!$P$483)*100</f>
        <v>0</v>
      </c>
      <c r="G426" s="599">
        <f>('Pivot Table for Data Exchange'!$P$486)*100</f>
        <v>0</v>
      </c>
      <c r="H426" s="597">
        <f>('Pivot Table for Data Exchange'!$P$489)*100</f>
        <v>0</v>
      </c>
      <c r="I426" s="102"/>
      <c r="J426" s="119"/>
      <c r="K426" s="119"/>
      <c r="L426" s="119"/>
      <c r="M426" s="119"/>
      <c r="N426" s="119"/>
      <c r="O426" s="119"/>
      <c r="P426" s="119"/>
      <c r="Q426" s="135">
        <f t="shared" si="83"/>
        <v>0</v>
      </c>
      <c r="R426" s="135"/>
      <c r="S426" s="100"/>
      <c r="T426" s="100"/>
      <c r="U426" s="100"/>
      <c r="V426" s="100"/>
      <c r="W426" s="100"/>
      <c r="X426" s="100"/>
      <c r="Y426" s="100"/>
      <c r="Z426" s="100"/>
      <c r="AA426" s="100"/>
      <c r="AB426" s="100"/>
      <c r="AC426" s="100"/>
      <c r="AD426" s="100"/>
      <c r="AE426" s="100"/>
      <c r="AF426" s="100"/>
      <c r="AG426" s="100"/>
      <c r="AH426" s="100"/>
      <c r="AI426" s="100"/>
      <c r="AJ426" s="100"/>
      <c r="AK426" s="100"/>
      <c r="AL426" s="100"/>
      <c r="AM426" s="100"/>
      <c r="AN426" s="100"/>
      <c r="AO426" s="100"/>
    </row>
    <row r="427" spans="1:41" ht="15.75" customHeight="1">
      <c r="A427" s="102" t="s">
        <v>189</v>
      </c>
      <c r="B427" s="597">
        <f>('Pivot Table for Data Exchange'!$P$510)*100</f>
        <v>0</v>
      </c>
      <c r="C427" s="597">
        <f>('Pivot Table for Data Exchange'!$P$513)*100</f>
        <v>0</v>
      </c>
      <c r="D427" s="603">
        <f t="shared" ref="D427" si="88">SUM(E427:G427)</f>
        <v>0</v>
      </c>
      <c r="E427" s="597">
        <f>('Pivot Table for Data Exchange'!$P$516)*100</f>
        <v>0</v>
      </c>
      <c r="F427" s="597">
        <f>('Pivot Table for Data Exchange'!$P$519)*100</f>
        <v>0</v>
      </c>
      <c r="G427" s="599">
        <f>('Pivot Table for Data Exchange'!$P$522)*100</f>
        <v>0</v>
      </c>
      <c r="H427" s="597">
        <f>('Pivot Table for Data Exchange'!$P$525)*100</f>
        <v>0</v>
      </c>
      <c r="I427" s="102"/>
      <c r="J427" s="119"/>
      <c r="K427" s="119"/>
      <c r="L427" s="119"/>
      <c r="M427" s="119"/>
      <c r="N427" s="119"/>
      <c r="O427" s="119"/>
      <c r="P427" s="119"/>
      <c r="Q427" s="135">
        <f t="shared" si="83"/>
        <v>0</v>
      </c>
      <c r="R427" s="135"/>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c r="AN427" s="100"/>
      <c r="AO427" s="100"/>
    </row>
    <row r="428" spans="1:41" ht="15.75" customHeight="1">
      <c r="A428" s="76" t="s">
        <v>190</v>
      </c>
      <c r="B428" s="600">
        <f>('Pivot Table for Data Exchange'!$P$546)*100</f>
        <v>0</v>
      </c>
      <c r="C428" s="600">
        <f>('Pivot Table for Data Exchange'!$P$549)*100</f>
        <v>0</v>
      </c>
      <c r="D428" s="604">
        <f>SUM(E428:G428)</f>
        <v>0</v>
      </c>
      <c r="E428" s="600">
        <f>('Pivot Table for Data Exchange'!$P$552)*100</f>
        <v>0</v>
      </c>
      <c r="F428" s="600">
        <f>('Pivot Table for Data Exchange'!$P$555)*100</f>
        <v>0</v>
      </c>
      <c r="G428" s="601">
        <f>('Pivot Table for Data Exchange'!$P$558)*100</f>
        <v>0</v>
      </c>
      <c r="H428" s="600">
        <f>('Pivot Table for Data Exchange'!$P$561)*100</f>
        <v>0</v>
      </c>
      <c r="I428" s="102"/>
      <c r="J428" s="119"/>
      <c r="K428" s="119"/>
      <c r="L428" s="119"/>
      <c r="M428" s="119"/>
      <c r="N428" s="119"/>
      <c r="O428" s="119"/>
      <c r="P428" s="119"/>
      <c r="Q428" s="135">
        <f t="shared" si="83"/>
        <v>0</v>
      </c>
      <c r="R428" s="135"/>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row>
    <row r="429" spans="1:41" s="45" customFormat="1" ht="18" customHeight="1">
      <c r="A429" s="43" t="s">
        <v>219</v>
      </c>
      <c r="B429" s="106"/>
      <c r="C429" s="106"/>
      <c r="D429" s="107"/>
      <c r="E429" s="106"/>
      <c r="F429" s="107"/>
      <c r="G429" s="107"/>
      <c r="H429" s="106"/>
      <c r="I429" s="43"/>
      <c r="J429" s="106"/>
      <c r="K429" s="106"/>
      <c r="L429" s="107"/>
      <c r="M429" s="106"/>
      <c r="N429" s="107"/>
      <c r="O429" s="107"/>
      <c r="P429" s="106"/>
      <c r="Q429" s="135">
        <f t="shared" si="83"/>
        <v>0</v>
      </c>
      <c r="R429" s="139"/>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row>
    <row r="430" spans="1:41" s="45" customFormat="1" ht="13.5" customHeight="1">
      <c r="A430" s="43"/>
      <c r="B430" s="114"/>
      <c r="I430" s="43"/>
      <c r="P430" s="115"/>
      <c r="Q430" s="135">
        <f t="shared" si="83"/>
        <v>0</v>
      </c>
      <c r="R430" s="144"/>
    </row>
    <row r="431" spans="1:41" s="45" customFormat="1" ht="13.5" customHeight="1">
      <c r="A431" s="113"/>
      <c r="H431" s="49" t="s">
        <v>900</v>
      </c>
      <c r="I431" s="113"/>
      <c r="Q431" s="135">
        <f t="shared" si="83"/>
        <v>0</v>
      </c>
      <c r="R431" s="144"/>
    </row>
    <row r="432" spans="1:41" ht="18">
      <c r="A432" s="16" t="s">
        <v>279</v>
      </c>
      <c r="B432" s="71"/>
      <c r="C432" s="71"/>
      <c r="D432" s="71"/>
      <c r="E432" s="71"/>
      <c r="F432" s="71"/>
      <c r="G432" s="71"/>
      <c r="H432" s="72"/>
      <c r="I432" s="118"/>
      <c r="J432" s="102"/>
      <c r="K432" s="102"/>
      <c r="L432" s="102"/>
      <c r="M432" s="102"/>
      <c r="N432" s="102"/>
      <c r="O432" s="102"/>
      <c r="P432" s="102"/>
      <c r="Q432" s="135">
        <f t="shared" si="83"/>
        <v>0</v>
      </c>
    </row>
    <row r="433" spans="1:41">
      <c r="A433" s="22"/>
      <c r="B433" s="23"/>
      <c r="C433" s="23"/>
      <c r="D433" s="23"/>
      <c r="E433" s="23"/>
      <c r="F433" s="23"/>
      <c r="G433" s="23"/>
      <c r="H433" s="73"/>
      <c r="I433" s="118"/>
      <c r="J433" s="102"/>
      <c r="K433" s="102"/>
      <c r="L433" s="102"/>
      <c r="M433" s="102"/>
      <c r="N433" s="102"/>
      <c r="O433" s="102"/>
      <c r="P433" s="102"/>
      <c r="Q433" s="135">
        <f t="shared" si="83"/>
        <v>0</v>
      </c>
    </row>
    <row r="434" spans="1:41" ht="15.75">
      <c r="A434" s="74" t="s">
        <v>205</v>
      </c>
      <c r="B434" s="23"/>
      <c r="C434" s="23"/>
      <c r="D434" s="23"/>
      <c r="E434" s="23"/>
      <c r="F434" s="23"/>
      <c r="G434" s="23"/>
      <c r="H434" s="73"/>
      <c r="I434" s="118"/>
      <c r="J434" s="102"/>
      <c r="K434" s="102"/>
      <c r="L434" s="102"/>
      <c r="M434" s="102"/>
      <c r="N434" s="102"/>
      <c r="O434" s="102"/>
      <c r="P434" s="102"/>
      <c r="Q434" s="135">
        <f t="shared" si="83"/>
        <v>0</v>
      </c>
    </row>
    <row r="435" spans="1:41" ht="15.75">
      <c r="A435" s="74" t="s">
        <v>247</v>
      </c>
      <c r="B435" s="23"/>
      <c r="C435" s="23"/>
      <c r="D435" s="23"/>
      <c r="E435" s="23"/>
      <c r="F435" s="23"/>
      <c r="G435" s="23"/>
      <c r="H435" s="73"/>
      <c r="I435" s="118"/>
      <c r="J435" s="102"/>
      <c r="K435" s="102"/>
      <c r="L435" s="102"/>
      <c r="M435" s="102"/>
      <c r="N435" s="102"/>
      <c r="O435" s="102"/>
      <c r="P435" s="102"/>
      <c r="Q435" s="135">
        <f t="shared" si="83"/>
        <v>0</v>
      </c>
    </row>
    <row r="436" spans="1:41">
      <c r="A436" s="76"/>
      <c r="B436" s="77"/>
      <c r="C436" s="77"/>
      <c r="D436" s="77"/>
      <c r="E436" s="77"/>
      <c r="F436" s="77"/>
      <c r="G436" s="77"/>
      <c r="H436" s="77"/>
      <c r="I436" s="118"/>
      <c r="J436" s="102"/>
      <c r="K436" s="102"/>
      <c r="L436" s="102"/>
      <c r="M436" s="102"/>
      <c r="N436" s="102"/>
      <c r="O436" s="102"/>
      <c r="P436" s="102"/>
      <c r="Q436" s="135">
        <f t="shared" si="83"/>
        <v>0</v>
      </c>
    </row>
    <row r="437" spans="1:41">
      <c r="A437" s="80"/>
      <c r="B437" s="81" t="s">
        <v>207</v>
      </c>
      <c r="C437" s="81"/>
      <c r="D437" s="81"/>
      <c r="E437" s="81"/>
      <c r="F437" s="81"/>
      <c r="G437" s="81"/>
      <c r="H437" s="82"/>
      <c r="I437" s="118"/>
      <c r="J437" s="102"/>
      <c r="K437" s="102"/>
      <c r="L437" s="102"/>
      <c r="M437" s="102"/>
      <c r="N437" s="102"/>
      <c r="O437" s="102"/>
      <c r="P437" s="102"/>
      <c r="Q437" s="135">
        <f t="shared" si="83"/>
        <v>0</v>
      </c>
    </row>
    <row r="438" spans="1:41">
      <c r="A438" s="80"/>
      <c r="B438" s="81" t="s">
        <v>208</v>
      </c>
      <c r="C438" s="81"/>
      <c r="D438" s="653" t="s">
        <v>209</v>
      </c>
      <c r="E438" s="654"/>
      <c r="F438" s="654"/>
      <c r="G438" s="654"/>
      <c r="H438" s="86" t="s">
        <v>39</v>
      </c>
      <c r="I438" s="118"/>
      <c r="J438" s="102"/>
      <c r="K438" s="102"/>
      <c r="L438" s="102"/>
      <c r="M438" s="102"/>
      <c r="N438" s="102"/>
      <c r="O438" s="102"/>
      <c r="P438" s="102"/>
      <c r="Q438" s="135">
        <f t="shared" si="83"/>
        <v>0</v>
      </c>
    </row>
    <row r="439" spans="1:41" ht="36">
      <c r="A439" s="80"/>
      <c r="B439" s="87" t="s">
        <v>210</v>
      </c>
      <c r="C439" s="88" t="s">
        <v>211</v>
      </c>
      <c r="D439" s="89" t="s">
        <v>212</v>
      </c>
      <c r="E439" s="90" t="s">
        <v>7</v>
      </c>
      <c r="F439" s="87" t="s">
        <v>213</v>
      </c>
      <c r="G439" s="91" t="s">
        <v>214</v>
      </c>
      <c r="H439" s="92" t="s">
        <v>215</v>
      </c>
      <c r="I439" s="118"/>
      <c r="J439" s="102"/>
      <c r="K439" s="102"/>
      <c r="L439" s="102"/>
      <c r="M439" s="102"/>
      <c r="N439" s="102"/>
      <c r="O439" s="102"/>
      <c r="P439" s="102"/>
      <c r="Q439" s="135">
        <f t="shared" si="83"/>
        <v>0</v>
      </c>
    </row>
    <row r="440" spans="1:41" ht="15.75" customHeight="1">
      <c r="A440" s="99" t="s">
        <v>175</v>
      </c>
      <c r="B440" s="597">
        <f>('Pivot Table for Data Exchange'!$Q$6)*100</f>
        <v>71.041784836453019</v>
      </c>
      <c r="C440" s="597">
        <f>('Pivot Table for Data Exchange'!$Q$9)*100</f>
        <v>20.820570996407639</v>
      </c>
      <c r="D440" s="603">
        <f>SUM(E440:G440)</f>
        <v>8.1376441671393458</v>
      </c>
      <c r="E440" s="597">
        <f>('Pivot Table for Data Exchange'!$Q$12)*100</f>
        <v>8.1376441671393458</v>
      </c>
      <c r="F440" s="597">
        <f>('Pivot Table for Data Exchange'!$Q$15)*100</f>
        <v>0</v>
      </c>
      <c r="G440" s="97">
        <f>('Pivot Table for Data Exchange'!$Q$18)*100</f>
        <v>0</v>
      </c>
      <c r="H440" s="597">
        <f>('Pivot Table for Data Exchange'!$Q$21)*100</f>
        <v>0</v>
      </c>
      <c r="I440" s="102"/>
      <c r="J440" s="119"/>
      <c r="K440" s="119"/>
      <c r="L440" s="119"/>
      <c r="M440" s="119"/>
      <c r="N440" s="119"/>
      <c r="O440" s="119"/>
      <c r="P440" s="119"/>
      <c r="Q440" s="135">
        <f t="shared" si="83"/>
        <v>100</v>
      </c>
      <c r="R440" s="135"/>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00"/>
      <c r="AN440" s="100"/>
      <c r="AO440" s="100"/>
    </row>
    <row r="441" spans="1:41" ht="15.75" customHeight="1">
      <c r="A441" s="102" t="s">
        <v>176</v>
      </c>
      <c r="B441" s="597">
        <f>('Pivot Table for Data Exchange'!$Q$42)*100</f>
        <v>0</v>
      </c>
      <c r="C441" s="597">
        <f>('Pivot Table for Data Exchange'!$Q$45)*100</f>
        <v>0</v>
      </c>
      <c r="D441" s="603">
        <f t="shared" ref="D441:D443" si="89">SUM(E441:G441)</f>
        <v>0</v>
      </c>
      <c r="E441" s="597">
        <f>('Pivot Table for Data Exchange'!$Q$48)*100</f>
        <v>0</v>
      </c>
      <c r="F441" s="597">
        <f>('Pivot Table for Data Exchange'!$Q$51)*100</f>
        <v>0</v>
      </c>
      <c r="G441" s="599">
        <f>('Pivot Table for Data Exchange'!$Q$54)*100</f>
        <v>0</v>
      </c>
      <c r="H441" s="597">
        <f>('Pivot Table for Data Exchange'!$Q$57)*100</f>
        <v>0</v>
      </c>
      <c r="I441" s="102"/>
      <c r="J441" s="119"/>
      <c r="K441" s="119"/>
      <c r="L441" s="119"/>
      <c r="M441" s="119"/>
      <c r="N441" s="119"/>
      <c r="O441" s="119"/>
      <c r="P441" s="119"/>
      <c r="Q441" s="135">
        <f t="shared" si="83"/>
        <v>0</v>
      </c>
      <c r="R441" s="135"/>
      <c r="S441" s="100"/>
      <c r="T441" s="100"/>
      <c r="U441" s="100"/>
      <c r="V441" s="100"/>
      <c r="W441" s="100"/>
      <c r="X441" s="100"/>
      <c r="Y441" s="100"/>
      <c r="Z441" s="100"/>
      <c r="AA441" s="100"/>
      <c r="AB441" s="100"/>
      <c r="AC441" s="100"/>
      <c r="AD441" s="100"/>
      <c r="AE441" s="100"/>
      <c r="AF441" s="100"/>
      <c r="AG441" s="100"/>
      <c r="AH441" s="100"/>
      <c r="AI441" s="100"/>
      <c r="AJ441" s="100"/>
      <c r="AK441" s="100"/>
      <c r="AL441" s="100"/>
      <c r="AM441" s="100"/>
      <c r="AN441" s="100"/>
      <c r="AO441" s="100"/>
    </row>
    <row r="442" spans="1:41" ht="15.75" customHeight="1">
      <c r="A442" s="102" t="s">
        <v>177</v>
      </c>
      <c r="B442" s="597">
        <f>('Pivot Table for Data Exchange'!$Q$78)*100</f>
        <v>0</v>
      </c>
      <c r="C442" s="597">
        <f>('Pivot Table for Data Exchange'!$Q$81)*100</f>
        <v>0</v>
      </c>
      <c r="D442" s="603">
        <f t="shared" si="89"/>
        <v>0</v>
      </c>
      <c r="E442" s="597">
        <f>('Pivot Table for Data Exchange'!$Q$84)*100</f>
        <v>0</v>
      </c>
      <c r="F442" s="597">
        <f>('Pivot Table for Data Exchange'!$Q$87)*100</f>
        <v>0</v>
      </c>
      <c r="G442" s="599">
        <f>('Pivot Table for Data Exchange'!$Q$90)*100</f>
        <v>0</v>
      </c>
      <c r="H442" s="597">
        <f>('Pivot Table for Data Exchange'!$Q$93)*100</f>
        <v>0</v>
      </c>
      <c r="I442" s="102"/>
      <c r="J442" s="119"/>
      <c r="K442" s="119"/>
      <c r="L442" s="119"/>
      <c r="M442" s="119"/>
      <c r="N442" s="119"/>
      <c r="O442" s="119"/>
      <c r="P442" s="119"/>
      <c r="Q442" s="135">
        <f t="shared" si="83"/>
        <v>0</v>
      </c>
      <c r="R442" s="135"/>
      <c r="S442" s="100"/>
      <c r="T442" s="112"/>
      <c r="U442" s="100"/>
      <c r="V442" s="100"/>
      <c r="W442" s="100"/>
      <c r="X442" s="100"/>
      <c r="Y442" s="100"/>
      <c r="Z442" s="100"/>
      <c r="AA442" s="100"/>
      <c r="AB442" s="100"/>
      <c r="AC442" s="100"/>
      <c r="AD442" s="100"/>
      <c r="AE442" s="100"/>
      <c r="AF442" s="100"/>
      <c r="AG442" s="100"/>
      <c r="AH442" s="100"/>
      <c r="AI442" s="100"/>
      <c r="AJ442" s="100"/>
      <c r="AK442" s="100"/>
      <c r="AL442" s="100"/>
      <c r="AM442" s="100"/>
      <c r="AN442" s="100"/>
      <c r="AO442" s="100"/>
    </row>
    <row r="443" spans="1:41" ht="15.75" customHeight="1">
      <c r="A443" s="102" t="s">
        <v>178</v>
      </c>
      <c r="B443" s="597">
        <f>('Pivot Table for Data Exchange'!$Q$114)*100</f>
        <v>0</v>
      </c>
      <c r="C443" s="597">
        <f>('Pivot Table for Data Exchange'!$Q$117)*100</f>
        <v>0</v>
      </c>
      <c r="D443" s="603">
        <f t="shared" si="89"/>
        <v>0</v>
      </c>
      <c r="E443" s="597">
        <f>('Pivot Table for Data Exchange'!$Q$120)*100</f>
        <v>0</v>
      </c>
      <c r="F443" s="597">
        <f>('Pivot Table for Data Exchange'!$Q$123)*100</f>
        <v>0</v>
      </c>
      <c r="G443" s="599">
        <f>('Pivot Table for Data Exchange'!$Q$126)*100</f>
        <v>0</v>
      </c>
      <c r="H443" s="597">
        <f>('Pivot Table for Data Exchange'!$Q$129)*100</f>
        <v>0</v>
      </c>
      <c r="I443" s="102"/>
      <c r="J443" s="119"/>
      <c r="K443" s="119"/>
      <c r="L443" s="119"/>
      <c r="M443" s="119"/>
      <c r="N443" s="119"/>
      <c r="O443" s="119"/>
      <c r="P443" s="119"/>
      <c r="Q443" s="135">
        <f t="shared" si="83"/>
        <v>0</v>
      </c>
      <c r="R443" s="135"/>
      <c r="S443" s="100"/>
      <c r="U443" s="100"/>
      <c r="V443" s="100"/>
      <c r="W443" s="100"/>
      <c r="X443" s="100"/>
      <c r="Y443" s="100"/>
      <c r="Z443" s="100"/>
      <c r="AA443" s="100"/>
      <c r="AB443" s="100"/>
      <c r="AC443" s="100"/>
      <c r="AD443" s="100"/>
      <c r="AE443" s="100"/>
      <c r="AF443" s="100"/>
      <c r="AG443" s="100"/>
      <c r="AH443" s="100"/>
      <c r="AI443" s="100"/>
      <c r="AJ443" s="100"/>
      <c r="AK443" s="100"/>
      <c r="AL443" s="100"/>
      <c r="AM443" s="100"/>
      <c r="AN443" s="100"/>
      <c r="AO443" s="100"/>
    </row>
    <row r="444" spans="1:41" ht="15.75" customHeight="1">
      <c r="A444" s="102"/>
      <c r="B444" s="597"/>
      <c r="C444" s="597"/>
      <c r="D444" s="603"/>
      <c r="E444" s="597"/>
      <c r="F444" s="597"/>
      <c r="G444" s="599"/>
      <c r="H444" s="597"/>
      <c r="I444" s="102"/>
      <c r="J444" s="119"/>
      <c r="K444" s="119"/>
      <c r="L444" s="119"/>
      <c r="M444" s="119"/>
      <c r="N444" s="119"/>
      <c r="O444" s="119"/>
      <c r="P444" s="119"/>
      <c r="Q444" s="135">
        <f t="shared" si="83"/>
        <v>0</v>
      </c>
      <c r="R444" s="135"/>
      <c r="S444" s="100"/>
      <c r="U444" s="100"/>
      <c r="V444" s="100"/>
      <c r="W444" s="100"/>
      <c r="X444" s="100"/>
      <c r="Y444" s="100"/>
      <c r="Z444" s="100"/>
      <c r="AA444" s="100"/>
      <c r="AB444" s="100"/>
      <c r="AC444" s="100"/>
      <c r="AD444" s="100"/>
      <c r="AE444" s="100"/>
      <c r="AF444" s="100"/>
      <c r="AG444" s="100"/>
      <c r="AH444" s="100"/>
      <c r="AI444" s="100"/>
      <c r="AJ444" s="100"/>
      <c r="AK444" s="100"/>
      <c r="AL444" s="100"/>
      <c r="AM444" s="100"/>
      <c r="AN444" s="100"/>
      <c r="AO444" s="100"/>
    </row>
    <row r="445" spans="1:41" ht="15.75" customHeight="1">
      <c r="A445" s="102" t="s">
        <v>179</v>
      </c>
      <c r="B445" s="597">
        <f>('Pivot Table for Data Exchange'!$Q$150)*100</f>
        <v>0</v>
      </c>
      <c r="C445" s="597">
        <f>('Pivot Table for Data Exchange'!$Q$153)*100</f>
        <v>0</v>
      </c>
      <c r="D445" s="603">
        <f t="shared" ref="D445:D448" si="90">SUM(E445:G445)</f>
        <v>0</v>
      </c>
      <c r="E445" s="597">
        <f>('Pivot Table for Data Exchange'!$Q$156)*100</f>
        <v>0</v>
      </c>
      <c r="F445" s="597">
        <f>('Pivot Table for Data Exchange'!$Q$159)*100</f>
        <v>0</v>
      </c>
      <c r="G445" s="599">
        <f>('Pivot Table for Data Exchange'!$Q$162)*100</f>
        <v>0</v>
      </c>
      <c r="H445" s="597">
        <f>('Pivot Table for Data Exchange'!$Q$165)*100</f>
        <v>0</v>
      </c>
      <c r="I445" s="102"/>
      <c r="J445" s="119"/>
      <c r="K445" s="119"/>
      <c r="L445" s="119"/>
      <c r="M445" s="119"/>
      <c r="N445" s="119"/>
      <c r="O445" s="119"/>
      <c r="P445" s="119"/>
      <c r="Q445" s="135">
        <f t="shared" si="83"/>
        <v>0</v>
      </c>
      <c r="R445" s="135"/>
      <c r="S445" s="100"/>
      <c r="T445" s="100"/>
      <c r="U445" s="100"/>
      <c r="V445" s="100"/>
      <c r="W445" s="100"/>
      <c r="X445" s="100"/>
      <c r="Y445" s="100"/>
      <c r="Z445" s="100"/>
      <c r="AA445" s="100"/>
      <c r="AB445" s="100"/>
      <c r="AC445" s="100"/>
      <c r="AD445" s="100"/>
      <c r="AE445" s="100"/>
      <c r="AF445" s="100"/>
      <c r="AG445" s="100"/>
      <c r="AH445" s="100"/>
      <c r="AI445" s="100"/>
      <c r="AJ445" s="100"/>
      <c r="AK445" s="100"/>
      <c r="AL445" s="100"/>
      <c r="AM445" s="100"/>
      <c r="AN445" s="100"/>
      <c r="AO445" s="100"/>
    </row>
    <row r="446" spans="1:41" ht="15.75" customHeight="1">
      <c r="A446" s="102" t="s">
        <v>180</v>
      </c>
      <c r="B446" s="597">
        <f>('Pivot Table for Data Exchange'!$Q$186)*100</f>
        <v>0</v>
      </c>
      <c r="C446" s="597">
        <f>('Pivot Table for Data Exchange'!$Q$189)*100</f>
        <v>0</v>
      </c>
      <c r="D446" s="603">
        <f t="shared" si="90"/>
        <v>0</v>
      </c>
      <c r="E446" s="597">
        <f>('Pivot Table for Data Exchange'!$Q$192)*100</f>
        <v>0</v>
      </c>
      <c r="F446" s="597">
        <f>('Pivot Table for Data Exchange'!$Q$195)*100</f>
        <v>0</v>
      </c>
      <c r="G446" s="599">
        <f>('Pivot Table for Data Exchange'!$Q$198)*100</f>
        <v>0</v>
      </c>
      <c r="H446" s="597">
        <f>('Pivot Table for Data Exchange'!$Q$201)*100</f>
        <v>0</v>
      </c>
      <c r="I446" s="102"/>
      <c r="J446" s="119"/>
      <c r="K446" s="119"/>
      <c r="L446" s="119"/>
      <c r="M446" s="119"/>
      <c r="N446" s="119"/>
      <c r="O446" s="119"/>
      <c r="P446" s="119"/>
      <c r="Q446" s="135">
        <f t="shared" si="83"/>
        <v>0</v>
      </c>
      <c r="R446" s="135"/>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00"/>
      <c r="AN446" s="100"/>
      <c r="AO446" s="100"/>
    </row>
    <row r="447" spans="1:41" ht="15.75" customHeight="1">
      <c r="A447" s="102" t="s">
        <v>181</v>
      </c>
      <c r="B447" s="597">
        <f>('Pivot Table for Data Exchange'!$Q$222)*100</f>
        <v>0</v>
      </c>
      <c r="C447" s="597">
        <f>('Pivot Table for Data Exchange'!$Q$225)*100</f>
        <v>0</v>
      </c>
      <c r="D447" s="603">
        <f t="shared" si="90"/>
        <v>0</v>
      </c>
      <c r="E447" s="597">
        <f>('Pivot Table for Data Exchange'!$Q$228)*100</f>
        <v>0</v>
      </c>
      <c r="F447" s="597">
        <f>('Pivot Table for Data Exchange'!$Q$231)*100</f>
        <v>0</v>
      </c>
      <c r="G447" s="599">
        <f>('Pivot Table for Data Exchange'!$Q$234)*100</f>
        <v>0</v>
      </c>
      <c r="H447" s="597">
        <f>('Pivot Table for Data Exchange'!$Q$237)*100</f>
        <v>0</v>
      </c>
      <c r="I447" s="124"/>
      <c r="J447" s="119"/>
      <c r="K447" s="119"/>
      <c r="L447" s="119"/>
      <c r="M447" s="119"/>
      <c r="N447" s="119"/>
      <c r="O447" s="119"/>
      <c r="P447" s="119"/>
      <c r="Q447" s="135">
        <f>SUM(I447,C447,D447,H447)</f>
        <v>0</v>
      </c>
      <c r="R447" s="135"/>
      <c r="S447" s="100"/>
      <c r="T447" s="112"/>
      <c r="U447" s="100"/>
      <c r="V447" s="100"/>
      <c r="W447" s="100"/>
      <c r="X447" s="100"/>
      <c r="Y447" s="100"/>
      <c r="Z447" s="100"/>
      <c r="AA447" s="100"/>
      <c r="AB447" s="100"/>
      <c r="AC447" s="100"/>
      <c r="AD447" s="100"/>
      <c r="AE447" s="100"/>
      <c r="AF447" s="100"/>
      <c r="AG447" s="100"/>
      <c r="AH447" s="100"/>
      <c r="AI447" s="100"/>
      <c r="AJ447" s="100"/>
      <c r="AK447" s="100"/>
      <c r="AL447" s="100"/>
      <c r="AM447" s="100"/>
      <c r="AN447" s="100"/>
      <c r="AO447" s="100"/>
    </row>
    <row r="448" spans="1:41" ht="15.75" customHeight="1">
      <c r="A448" s="102" t="s">
        <v>222</v>
      </c>
      <c r="B448" s="597">
        <f>('Pivot Table for Data Exchange'!$Q$258)*100</f>
        <v>0</v>
      </c>
      <c r="C448" s="597">
        <f>('Pivot Table for Data Exchange'!$Q$261)*100</f>
        <v>0</v>
      </c>
      <c r="D448" s="603">
        <f t="shared" si="90"/>
        <v>0</v>
      </c>
      <c r="E448" s="597">
        <f>('Pivot Table for Data Exchange'!$Q$264)*100</f>
        <v>0</v>
      </c>
      <c r="F448" s="597">
        <f>('Pivot Table for Data Exchange'!$Q$267)*100</f>
        <v>0</v>
      </c>
      <c r="G448" s="599">
        <f>('Pivot Table for Data Exchange'!$Q$270)*100</f>
        <v>0</v>
      </c>
      <c r="H448" s="597">
        <f>('Pivot Table for Data Exchange'!$Q$273)*100</f>
        <v>0</v>
      </c>
      <c r="I448" s="102"/>
      <c r="J448" s="119"/>
      <c r="K448" s="119"/>
      <c r="L448" s="119"/>
      <c r="M448" s="119"/>
      <c r="N448" s="119"/>
      <c r="O448" s="119"/>
      <c r="P448" s="119"/>
      <c r="Q448" s="135">
        <f t="shared" si="83"/>
        <v>0</v>
      </c>
      <c r="R448" s="135"/>
      <c r="S448" s="100"/>
      <c r="U448" s="100"/>
      <c r="V448" s="100"/>
      <c r="W448" s="100"/>
      <c r="X448" s="100"/>
      <c r="Y448" s="100"/>
      <c r="Z448" s="100"/>
      <c r="AA448" s="100"/>
      <c r="AB448" s="100"/>
      <c r="AC448" s="100"/>
      <c r="AD448" s="100"/>
      <c r="AE448" s="100"/>
      <c r="AF448" s="100"/>
      <c r="AG448" s="100"/>
      <c r="AH448" s="100"/>
      <c r="AI448" s="100"/>
      <c r="AJ448" s="100"/>
      <c r="AK448" s="100"/>
      <c r="AL448" s="100"/>
      <c r="AM448" s="100"/>
      <c r="AN448" s="100"/>
      <c r="AO448" s="100"/>
    </row>
    <row r="449" spans="1:41" ht="15.75" customHeight="1">
      <c r="A449" s="102"/>
      <c r="B449" s="597"/>
      <c r="C449" s="597"/>
      <c r="D449" s="603"/>
      <c r="E449" s="597"/>
      <c r="F449" s="597"/>
      <c r="G449" s="599"/>
      <c r="H449" s="597"/>
      <c r="I449" s="102"/>
      <c r="J449" s="119"/>
      <c r="K449" s="119"/>
      <c r="L449" s="119"/>
      <c r="M449" s="119"/>
      <c r="N449" s="119"/>
      <c r="O449" s="119"/>
      <c r="P449" s="119"/>
      <c r="Q449" s="135">
        <f t="shared" si="83"/>
        <v>0</v>
      </c>
      <c r="R449" s="135"/>
      <c r="S449" s="100"/>
      <c r="U449" s="100"/>
      <c r="V449" s="100"/>
      <c r="W449" s="100"/>
      <c r="X449" s="100"/>
      <c r="Y449" s="100"/>
      <c r="Z449" s="100"/>
      <c r="AA449" s="100"/>
      <c r="AB449" s="100"/>
      <c r="AC449" s="100"/>
      <c r="AD449" s="100"/>
      <c r="AE449" s="100"/>
      <c r="AF449" s="100"/>
      <c r="AG449" s="100"/>
      <c r="AH449" s="100"/>
      <c r="AI449" s="100"/>
      <c r="AJ449" s="100"/>
      <c r="AK449" s="100"/>
      <c r="AL449" s="100"/>
      <c r="AM449" s="100"/>
      <c r="AN449" s="100"/>
      <c r="AO449" s="100"/>
    </row>
    <row r="450" spans="1:41" ht="15.75" customHeight="1">
      <c r="A450" s="102" t="s">
        <v>183</v>
      </c>
      <c r="B450" s="597">
        <f>('Pivot Table for Data Exchange'!$Q$294)*100</f>
        <v>0</v>
      </c>
      <c r="C450" s="597">
        <f>('Pivot Table for Data Exchange'!$Q$297)*100</f>
        <v>0</v>
      </c>
      <c r="D450" s="603">
        <f t="shared" ref="D450:D452" si="91">SUM(E450:G450)</f>
        <v>0</v>
      </c>
      <c r="E450" s="597">
        <f>('Pivot Table for Data Exchange'!$Q$300)*100</f>
        <v>0</v>
      </c>
      <c r="F450" s="597">
        <f>('Pivot Table for Data Exchange'!$Q$303)*100</f>
        <v>0</v>
      </c>
      <c r="G450" s="599">
        <f>('Pivot Table for Data Exchange'!$Q$306)*100</f>
        <v>0</v>
      </c>
      <c r="H450" s="597">
        <f>('Pivot Table for Data Exchange'!$Q$309)*100</f>
        <v>0</v>
      </c>
      <c r="I450" s="102"/>
      <c r="J450" s="119"/>
      <c r="K450" s="119"/>
      <c r="L450" s="119"/>
      <c r="M450" s="119"/>
      <c r="N450" s="119"/>
      <c r="O450" s="119"/>
      <c r="P450" s="119"/>
      <c r="Q450" s="135">
        <f t="shared" si="83"/>
        <v>0</v>
      </c>
      <c r="R450" s="135"/>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00"/>
      <c r="AN450" s="100"/>
      <c r="AO450" s="100"/>
    </row>
    <row r="451" spans="1:41" ht="15.75" customHeight="1">
      <c r="A451" s="102" t="s">
        <v>184</v>
      </c>
      <c r="B451" s="597">
        <f>('Pivot Table for Data Exchange'!$Q$330)*100</f>
        <v>0</v>
      </c>
      <c r="C451" s="597">
        <f>('Pivot Table for Data Exchange'!$Q$333)*100</f>
        <v>0</v>
      </c>
      <c r="D451" s="603">
        <f t="shared" si="91"/>
        <v>0</v>
      </c>
      <c r="E451" s="597">
        <f>('Pivot Table for Data Exchange'!$Q$336)*100</f>
        <v>0</v>
      </c>
      <c r="F451" s="597">
        <f>('Pivot Table for Data Exchange'!$Q$339)*100</f>
        <v>0</v>
      </c>
      <c r="G451" s="599">
        <f>('Pivot Table for Data Exchange'!$Q$342)*100</f>
        <v>0</v>
      </c>
      <c r="H451" s="597">
        <f>('Pivot Table for Data Exchange'!$Q$345)*100</f>
        <v>0</v>
      </c>
      <c r="I451" s="102"/>
      <c r="J451" s="119"/>
      <c r="K451" s="119"/>
      <c r="L451" s="119"/>
      <c r="M451" s="119"/>
      <c r="N451" s="119"/>
      <c r="O451" s="119"/>
      <c r="P451" s="119"/>
      <c r="Q451" s="135">
        <f t="shared" si="83"/>
        <v>0</v>
      </c>
      <c r="R451" s="135"/>
      <c r="S451" s="100"/>
      <c r="T451" s="100"/>
      <c r="U451" s="100"/>
      <c r="V451" s="100"/>
      <c r="W451" s="100"/>
      <c r="X451" s="100"/>
      <c r="Y451" s="100"/>
      <c r="Z451" s="100"/>
      <c r="AA451" s="100"/>
      <c r="AB451" s="100"/>
      <c r="AC451" s="100"/>
      <c r="AD451" s="100"/>
      <c r="AE451" s="100"/>
      <c r="AF451" s="100"/>
      <c r="AG451" s="100"/>
      <c r="AH451" s="100"/>
      <c r="AI451" s="100"/>
      <c r="AJ451" s="100"/>
      <c r="AK451" s="100"/>
      <c r="AL451" s="100"/>
      <c r="AM451" s="100"/>
      <c r="AN451" s="100"/>
      <c r="AO451" s="100"/>
    </row>
    <row r="452" spans="1:41" ht="15.75" customHeight="1">
      <c r="A452" s="102" t="s">
        <v>185</v>
      </c>
      <c r="B452" s="597">
        <f>('Pivot Table for Data Exchange'!$Q$366)*100</f>
        <v>0</v>
      </c>
      <c r="C452" s="597">
        <f>('Pivot Table for Data Exchange'!$Q$369)*100</f>
        <v>0</v>
      </c>
      <c r="D452" s="603">
        <f t="shared" si="91"/>
        <v>0</v>
      </c>
      <c r="E452" s="597">
        <f>('Pivot Table for Data Exchange'!$Q$372)*100</f>
        <v>0</v>
      </c>
      <c r="F452" s="597">
        <f>('Pivot Table for Data Exchange'!$Q$375)*100</f>
        <v>0</v>
      </c>
      <c r="G452" s="599">
        <f>('Pivot Table for Data Exchange'!$Q$378)*100</f>
        <v>0</v>
      </c>
      <c r="H452" s="597">
        <f>('Pivot Table for Data Exchange'!$Q$381)*100</f>
        <v>0</v>
      </c>
      <c r="I452" s="102"/>
      <c r="J452" s="119"/>
      <c r="K452" s="119"/>
      <c r="L452" s="119"/>
      <c r="M452" s="119"/>
      <c r="N452" s="119"/>
      <c r="O452" s="119"/>
      <c r="P452" s="119"/>
      <c r="Q452" s="135">
        <f t="shared" si="83"/>
        <v>0</v>
      </c>
      <c r="R452" s="135"/>
      <c r="S452" s="100"/>
      <c r="T452" s="112"/>
      <c r="U452" s="100"/>
      <c r="V452" s="100"/>
      <c r="W452" s="100"/>
      <c r="X452" s="100"/>
      <c r="Y452" s="100"/>
      <c r="Z452" s="100"/>
      <c r="AA452" s="100"/>
      <c r="AB452" s="100"/>
      <c r="AC452" s="100"/>
      <c r="AD452" s="100"/>
      <c r="AE452" s="100"/>
      <c r="AF452" s="100"/>
      <c r="AG452" s="100"/>
      <c r="AH452" s="100"/>
      <c r="AI452" s="100"/>
      <c r="AJ452" s="100"/>
      <c r="AK452" s="100"/>
      <c r="AL452" s="100"/>
      <c r="AM452" s="100"/>
      <c r="AN452" s="100"/>
      <c r="AO452" s="100"/>
    </row>
    <row r="453" spans="1:41" ht="15.75" customHeight="1">
      <c r="A453" s="102" t="s">
        <v>186</v>
      </c>
      <c r="B453" s="597">
        <f>('Pivot Table for Data Exchange'!$Q$402)*100</f>
        <v>0</v>
      </c>
      <c r="C453" s="597">
        <f>('Pivot Table for Data Exchange'!$Q$405)*100</f>
        <v>0</v>
      </c>
      <c r="D453" s="603">
        <f>SUM(E453:G453)</f>
        <v>0</v>
      </c>
      <c r="E453" s="597">
        <f>('Pivot Table for Data Exchange'!$Q$408)*100</f>
        <v>0</v>
      </c>
      <c r="F453" s="597">
        <f>('Pivot Table for Data Exchange'!$Q$411)*100</f>
        <v>0</v>
      </c>
      <c r="G453" s="599">
        <f>('Pivot Table for Data Exchange'!$Q$414)*100</f>
        <v>0</v>
      </c>
      <c r="H453" s="597">
        <f>('Pivot Table for Data Exchange'!$Q$417)*100</f>
        <v>0</v>
      </c>
      <c r="I453" s="102"/>
      <c r="J453" s="119"/>
      <c r="K453" s="119"/>
      <c r="L453" s="119"/>
      <c r="M453" s="119"/>
      <c r="N453" s="119"/>
      <c r="O453" s="119"/>
      <c r="P453" s="119"/>
      <c r="Q453" s="135">
        <f t="shared" si="83"/>
        <v>0</v>
      </c>
      <c r="R453" s="135"/>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00"/>
      <c r="AN453" s="100"/>
      <c r="AO453" s="100"/>
    </row>
    <row r="454" spans="1:41" ht="15.75" customHeight="1">
      <c r="A454" s="102"/>
      <c r="B454" s="597"/>
      <c r="C454" s="597"/>
      <c r="D454" s="603"/>
      <c r="E454" s="597"/>
      <c r="F454" s="597"/>
      <c r="G454" s="599"/>
      <c r="H454" s="597"/>
      <c r="I454" s="102"/>
      <c r="J454" s="119"/>
      <c r="K454" s="119"/>
      <c r="L454" s="119"/>
      <c r="M454" s="119"/>
      <c r="N454" s="119"/>
      <c r="O454" s="119"/>
      <c r="P454" s="119"/>
      <c r="Q454" s="135">
        <f t="shared" si="83"/>
        <v>0</v>
      </c>
      <c r="R454" s="135"/>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00"/>
      <c r="AN454" s="100"/>
      <c r="AO454" s="100"/>
    </row>
    <row r="455" spans="1:41" ht="15.75" customHeight="1">
      <c r="A455" s="102" t="s">
        <v>187</v>
      </c>
      <c r="B455" s="597">
        <f>('Pivot Table for Data Exchange'!$Q$438)*100</f>
        <v>0</v>
      </c>
      <c r="C455" s="597">
        <f>('Pivot Table for Data Exchange'!$Q$441)*100</f>
        <v>0</v>
      </c>
      <c r="D455" s="603">
        <f>SUM(E455:G455)</f>
        <v>0</v>
      </c>
      <c r="E455" s="597">
        <f>('Pivot Table for Data Exchange'!$Q$444)*100</f>
        <v>0</v>
      </c>
      <c r="F455" s="597">
        <f>('Pivot Table for Data Exchange'!$Q$447)*100</f>
        <v>0</v>
      </c>
      <c r="G455" s="599">
        <f>('Pivot Table for Data Exchange'!$Q$450)*100</f>
        <v>0</v>
      </c>
      <c r="H455" s="597">
        <f>('Pivot Table for Data Exchange'!$Q$453)*100</f>
        <v>0</v>
      </c>
      <c r="I455" s="102"/>
      <c r="J455" s="119"/>
      <c r="K455" s="119"/>
      <c r="L455" s="119"/>
      <c r="M455" s="119"/>
      <c r="N455" s="119"/>
      <c r="O455" s="119"/>
      <c r="P455" s="119"/>
      <c r="Q455" s="135">
        <f t="shared" si="83"/>
        <v>0</v>
      </c>
      <c r="R455" s="135"/>
      <c r="S455" s="100"/>
      <c r="T455" s="100"/>
      <c r="U455" s="100"/>
      <c r="V455" s="100"/>
      <c r="W455" s="100"/>
      <c r="X455" s="100"/>
      <c r="Y455" s="100"/>
      <c r="Z455" s="100"/>
      <c r="AA455" s="100"/>
      <c r="AB455" s="100"/>
      <c r="AC455" s="100"/>
      <c r="AD455" s="100"/>
      <c r="AE455" s="100"/>
      <c r="AF455" s="100"/>
      <c r="AG455" s="100"/>
      <c r="AH455" s="100"/>
      <c r="AI455" s="100"/>
      <c r="AJ455" s="100"/>
      <c r="AK455" s="100"/>
      <c r="AL455" s="100"/>
      <c r="AM455" s="100"/>
      <c r="AN455" s="100"/>
      <c r="AO455" s="100"/>
    </row>
    <row r="456" spans="1:41" ht="15.75" customHeight="1">
      <c r="A456" s="102" t="s">
        <v>188</v>
      </c>
      <c r="B456" s="597">
        <f>('Pivot Table for Data Exchange'!$Q$474)*100</f>
        <v>0</v>
      </c>
      <c r="C456" s="597">
        <f>('Pivot Table for Data Exchange'!$Q$477)*100</f>
        <v>0</v>
      </c>
      <c r="D456" s="603">
        <f>SUM(E456:G456)</f>
        <v>0</v>
      </c>
      <c r="E456" s="597">
        <f>('Pivot Table for Data Exchange'!$Q$480)*100</f>
        <v>0</v>
      </c>
      <c r="F456" s="597">
        <f>('Pivot Table for Data Exchange'!$Q$483)*100</f>
        <v>0</v>
      </c>
      <c r="G456" s="599">
        <f>('Pivot Table for Data Exchange'!$Q$486)*100</f>
        <v>0</v>
      </c>
      <c r="H456" s="597">
        <f>('Pivot Table for Data Exchange'!$Q$489)*100</f>
        <v>0</v>
      </c>
      <c r="I456" s="102"/>
      <c r="J456" s="119"/>
      <c r="K456" s="119"/>
      <c r="L456" s="119"/>
      <c r="M456" s="119"/>
      <c r="N456" s="119"/>
      <c r="O456" s="119"/>
      <c r="P456" s="119"/>
      <c r="Q456" s="135">
        <f t="shared" si="83"/>
        <v>0</v>
      </c>
      <c r="R456" s="135"/>
      <c r="S456" s="100"/>
      <c r="T456" s="100"/>
      <c r="U456" s="100"/>
      <c r="V456" s="100"/>
      <c r="W456" s="100"/>
      <c r="X456" s="100"/>
      <c r="Y456" s="100"/>
      <c r="Z456" s="100"/>
      <c r="AA456" s="100"/>
      <c r="AB456" s="100"/>
      <c r="AC456" s="100"/>
      <c r="AD456" s="100"/>
      <c r="AE456" s="100"/>
      <c r="AF456" s="100"/>
      <c r="AG456" s="100"/>
      <c r="AH456" s="100"/>
      <c r="AI456" s="100"/>
      <c r="AJ456" s="100"/>
      <c r="AK456" s="100"/>
      <c r="AL456" s="100"/>
      <c r="AM456" s="100"/>
      <c r="AN456" s="100"/>
      <c r="AO456" s="100"/>
    </row>
    <row r="457" spans="1:41" ht="15.75" customHeight="1">
      <c r="A457" s="102" t="s">
        <v>189</v>
      </c>
      <c r="B457" s="597">
        <f>('Pivot Table for Data Exchange'!$Q$510)*100</f>
        <v>0</v>
      </c>
      <c r="C457" s="597">
        <f>('Pivot Table for Data Exchange'!$Q$513)*100</f>
        <v>0</v>
      </c>
      <c r="D457" s="603">
        <f t="shared" ref="D457" si="92">SUM(E457:G457)</f>
        <v>0</v>
      </c>
      <c r="E457" s="597">
        <f>('Pivot Table for Data Exchange'!$Q$516)*100</f>
        <v>0</v>
      </c>
      <c r="F457" s="597">
        <f>('Pivot Table for Data Exchange'!$Q$519)*100</f>
        <v>0</v>
      </c>
      <c r="G457" s="599">
        <f>('Pivot Table for Data Exchange'!$Q$522)*100</f>
        <v>0</v>
      </c>
      <c r="H457" s="597">
        <f>('Pivot Table for Data Exchange'!$Q$525)*100</f>
        <v>0</v>
      </c>
      <c r="I457" s="102"/>
      <c r="J457" s="119"/>
      <c r="K457" s="119"/>
      <c r="L457" s="119"/>
      <c r="M457" s="119"/>
      <c r="N457" s="119"/>
      <c r="O457" s="119"/>
      <c r="P457" s="119"/>
      <c r="Q457" s="135">
        <f t="shared" si="83"/>
        <v>0</v>
      </c>
      <c r="R457" s="135"/>
      <c r="S457" s="100"/>
      <c r="T457" s="100"/>
      <c r="U457" s="100"/>
      <c r="V457" s="100"/>
      <c r="W457" s="100"/>
      <c r="X457" s="100"/>
      <c r="Y457" s="100"/>
      <c r="Z457" s="100"/>
      <c r="AA457" s="100"/>
      <c r="AB457" s="100"/>
      <c r="AC457" s="100"/>
      <c r="AD457" s="100"/>
      <c r="AE457" s="100"/>
      <c r="AF457" s="100"/>
      <c r="AG457" s="100"/>
      <c r="AH457" s="100"/>
      <c r="AI457" s="100"/>
      <c r="AJ457" s="100"/>
      <c r="AK457" s="100"/>
      <c r="AL457" s="100"/>
      <c r="AM457" s="100"/>
      <c r="AN457" s="100"/>
      <c r="AO457" s="100"/>
    </row>
    <row r="458" spans="1:41" ht="15.75" customHeight="1">
      <c r="A458" s="76" t="s">
        <v>190</v>
      </c>
      <c r="B458" s="600">
        <f>('Pivot Table for Data Exchange'!$Q$546)*100</f>
        <v>0</v>
      </c>
      <c r="C458" s="600">
        <f>('Pivot Table for Data Exchange'!$Q$549)*100</f>
        <v>0</v>
      </c>
      <c r="D458" s="604">
        <f>SUM(E458:G458)</f>
        <v>0</v>
      </c>
      <c r="E458" s="600">
        <f>('Pivot Table for Data Exchange'!$Q$552)*100</f>
        <v>0</v>
      </c>
      <c r="F458" s="600">
        <f>('Pivot Table for Data Exchange'!$Q$555)*100</f>
        <v>0</v>
      </c>
      <c r="G458" s="601">
        <f>('Pivot Table for Data Exchange'!$Q$558)*100</f>
        <v>0</v>
      </c>
      <c r="H458" s="600">
        <f>('Pivot Table for Data Exchange'!$Q$561)*100</f>
        <v>0</v>
      </c>
      <c r="I458" s="102"/>
      <c r="J458" s="119"/>
      <c r="K458" s="119"/>
      <c r="L458" s="119"/>
      <c r="M458" s="119"/>
      <c r="N458" s="119"/>
      <c r="O458" s="119"/>
      <c r="P458" s="119"/>
      <c r="Q458" s="135">
        <f>SUM(B458,C458,D458,H458)</f>
        <v>0</v>
      </c>
      <c r="R458" s="135"/>
      <c r="S458" s="100"/>
      <c r="T458" s="100"/>
      <c r="U458" s="100"/>
      <c r="V458" s="100"/>
      <c r="W458" s="100"/>
      <c r="X458" s="100"/>
      <c r="Y458" s="100"/>
      <c r="Z458" s="100"/>
      <c r="AA458" s="100"/>
      <c r="AB458" s="100"/>
      <c r="AC458" s="100"/>
      <c r="AD458" s="100"/>
      <c r="AE458" s="100"/>
      <c r="AF458" s="100"/>
      <c r="AG458" s="100"/>
      <c r="AH458" s="100"/>
      <c r="AI458" s="100"/>
      <c r="AJ458" s="100"/>
      <c r="AK458" s="100"/>
      <c r="AL458" s="100"/>
      <c r="AM458" s="100"/>
      <c r="AN458" s="100"/>
      <c r="AO458" s="100"/>
    </row>
    <row r="459" spans="1:41" s="45" customFormat="1" ht="18" customHeight="1">
      <c r="A459" s="43" t="s">
        <v>219</v>
      </c>
      <c r="B459" s="106"/>
      <c r="C459" s="106"/>
      <c r="D459" s="107"/>
      <c r="E459" s="106"/>
      <c r="F459" s="107"/>
      <c r="G459" s="107"/>
      <c r="H459" s="106"/>
      <c r="I459" s="43"/>
      <c r="J459" s="106"/>
      <c r="K459" s="106"/>
      <c r="L459" s="107"/>
      <c r="M459" s="106"/>
      <c r="N459" s="107"/>
      <c r="O459" s="107"/>
      <c r="P459" s="106"/>
      <c r="Q459" s="139"/>
      <c r="R459" s="139"/>
      <c r="S459" s="108"/>
      <c r="T459" s="108"/>
      <c r="U459" s="108"/>
      <c r="V459" s="108"/>
      <c r="W459" s="108"/>
      <c r="X459" s="108"/>
      <c r="Y459" s="108"/>
      <c r="Z459" s="108"/>
      <c r="AA459" s="108"/>
      <c r="AB459" s="108"/>
      <c r="AC459" s="108"/>
      <c r="AD459" s="108"/>
      <c r="AE459" s="108"/>
      <c r="AF459" s="108"/>
      <c r="AG459" s="108"/>
      <c r="AH459" s="108"/>
      <c r="AI459" s="108"/>
      <c r="AJ459" s="108"/>
      <c r="AK459" s="108"/>
      <c r="AL459" s="108"/>
      <c r="AM459" s="108"/>
      <c r="AN459" s="108"/>
      <c r="AO459" s="108"/>
    </row>
    <row r="460" spans="1:41" s="45" customFormat="1" ht="18" customHeight="1">
      <c r="A460" s="43"/>
      <c r="B460" s="106"/>
      <c r="C460" s="106"/>
      <c r="D460" s="107"/>
      <c r="E460" s="106"/>
      <c r="F460" s="107"/>
      <c r="G460" s="107"/>
      <c r="H460" s="106"/>
      <c r="I460" s="43"/>
      <c r="J460" s="106"/>
      <c r="K460" s="106"/>
      <c r="L460" s="107"/>
      <c r="M460" s="106"/>
      <c r="N460" s="107"/>
      <c r="O460" s="107"/>
      <c r="P460" s="106"/>
      <c r="Q460" s="139"/>
      <c r="R460" s="139"/>
      <c r="S460" s="108"/>
      <c r="T460" s="108"/>
      <c r="U460" s="108"/>
      <c r="V460" s="108"/>
      <c r="W460" s="108"/>
      <c r="X460" s="108"/>
      <c r="Y460" s="108"/>
      <c r="Z460" s="108"/>
      <c r="AA460" s="108"/>
      <c r="AB460" s="108"/>
      <c r="AC460" s="108"/>
      <c r="AD460" s="108"/>
      <c r="AE460" s="108"/>
      <c r="AF460" s="108"/>
      <c r="AG460" s="108"/>
      <c r="AH460" s="108"/>
      <c r="AI460" s="108"/>
      <c r="AJ460" s="108"/>
      <c r="AK460" s="108"/>
      <c r="AL460" s="108"/>
      <c r="AM460" s="108"/>
      <c r="AN460" s="108"/>
      <c r="AO460" s="108"/>
    </row>
    <row r="461" spans="1:41" s="45" customFormat="1" ht="13.5" customHeight="1">
      <c r="A461" s="43"/>
      <c r="B461" s="114"/>
      <c r="H461" s="49" t="s">
        <v>900</v>
      </c>
      <c r="I461" s="43"/>
      <c r="P461" s="115"/>
      <c r="Q461" s="146"/>
      <c r="R461" s="144"/>
    </row>
    <row r="462" spans="1:41" s="45" customFormat="1" ht="13.5" customHeight="1">
      <c r="A462" s="113"/>
      <c r="H462" s="47"/>
      <c r="I462" s="113"/>
      <c r="Q462" s="146"/>
      <c r="R462" s="144"/>
    </row>
    <row r="463" spans="1:41" s="45" customFormat="1" ht="13.5" customHeight="1">
      <c r="A463" s="113"/>
      <c r="H463" s="47"/>
      <c r="I463" s="113"/>
      <c r="Q463" s="146"/>
      <c r="R463" s="144"/>
    </row>
    <row r="464" spans="1:41">
      <c r="I464" s="118"/>
      <c r="J464" s="102"/>
      <c r="K464" s="102"/>
      <c r="L464" s="102"/>
      <c r="M464" s="102"/>
      <c r="N464" s="102"/>
      <c r="O464" s="102"/>
      <c r="P464" s="102"/>
    </row>
    <row r="465" spans="8:18" s="75" customFormat="1">
      <c r="H465" s="102"/>
      <c r="I465" s="118"/>
      <c r="J465" s="102"/>
      <c r="K465" s="102"/>
      <c r="L465" s="102"/>
      <c r="M465" s="102"/>
      <c r="N465" s="102"/>
      <c r="O465" s="102"/>
      <c r="P465" s="102"/>
      <c r="Q465" s="130"/>
      <c r="R465" s="132"/>
    </row>
    <row r="466" spans="8:18" s="75" customFormat="1">
      <c r="H466" s="102"/>
      <c r="I466" s="118"/>
      <c r="J466" s="102"/>
      <c r="K466" s="102"/>
      <c r="L466" s="102"/>
      <c r="M466" s="102"/>
      <c r="N466" s="102"/>
      <c r="O466" s="102"/>
      <c r="P466" s="102"/>
      <c r="Q466" s="130"/>
      <c r="R466" s="132"/>
    </row>
    <row r="467" spans="8:18" s="75" customFormat="1">
      <c r="H467" s="102"/>
      <c r="I467" s="118"/>
      <c r="J467" s="102"/>
      <c r="K467" s="102"/>
      <c r="L467" s="102"/>
      <c r="M467" s="102"/>
      <c r="N467" s="102"/>
      <c r="O467" s="102"/>
      <c r="P467" s="102"/>
      <c r="Q467" s="130"/>
      <c r="R467" s="132"/>
    </row>
    <row r="468" spans="8:18" s="75" customFormat="1">
      <c r="H468" s="102"/>
      <c r="I468" s="118"/>
      <c r="J468" s="102"/>
      <c r="K468" s="102"/>
      <c r="L468" s="102"/>
      <c r="M468" s="102"/>
      <c r="N468" s="102"/>
      <c r="O468" s="102"/>
      <c r="P468" s="102"/>
      <c r="Q468" s="130"/>
      <c r="R468" s="132"/>
    </row>
    <row r="469" spans="8:18" s="75" customFormat="1">
      <c r="H469" s="102"/>
      <c r="I469" s="118"/>
      <c r="J469" s="102"/>
      <c r="K469" s="102"/>
      <c r="L469" s="102"/>
      <c r="M469" s="102"/>
      <c r="N469" s="102"/>
      <c r="O469" s="102"/>
      <c r="P469" s="102"/>
      <c r="Q469" s="130"/>
      <c r="R469" s="132"/>
    </row>
    <row r="470" spans="8:18" s="75" customFormat="1">
      <c r="H470" s="102"/>
      <c r="I470" s="118"/>
      <c r="J470" s="102"/>
      <c r="K470" s="102"/>
      <c r="L470" s="102"/>
      <c r="M470" s="102"/>
      <c r="N470" s="102"/>
      <c r="O470" s="102"/>
      <c r="P470" s="102"/>
      <c r="Q470" s="130"/>
      <c r="R470" s="132"/>
    </row>
    <row r="471" spans="8:18" s="75" customFormat="1">
      <c r="H471" s="102"/>
      <c r="I471" s="118"/>
      <c r="J471" s="102"/>
      <c r="K471" s="102"/>
      <c r="L471" s="102"/>
      <c r="M471" s="102"/>
      <c r="N471" s="102"/>
      <c r="O471" s="102"/>
      <c r="P471" s="102"/>
      <c r="Q471" s="130"/>
      <c r="R471" s="132"/>
    </row>
    <row r="472" spans="8:18" s="75" customFormat="1">
      <c r="H472" s="102"/>
      <c r="I472" s="118"/>
      <c r="J472" s="102"/>
      <c r="K472" s="102"/>
      <c r="L472" s="102"/>
      <c r="M472" s="102"/>
      <c r="N472" s="102"/>
      <c r="O472" s="102"/>
      <c r="P472" s="102"/>
      <c r="Q472" s="130"/>
      <c r="R472" s="132"/>
    </row>
    <row r="473" spans="8:18" s="75" customFormat="1">
      <c r="H473" s="102"/>
      <c r="I473" s="118"/>
      <c r="J473" s="102"/>
      <c r="K473" s="102"/>
      <c r="L473" s="102"/>
      <c r="M473" s="102"/>
      <c r="N473" s="102"/>
      <c r="O473" s="102"/>
      <c r="P473" s="102"/>
      <c r="Q473" s="130"/>
      <c r="R473" s="132"/>
    </row>
    <row r="474" spans="8:18" s="75" customFormat="1">
      <c r="H474" s="102"/>
      <c r="I474" s="118"/>
      <c r="J474" s="102"/>
      <c r="K474" s="102"/>
      <c r="L474" s="102"/>
      <c r="M474" s="102"/>
      <c r="N474" s="102"/>
      <c r="O474" s="102"/>
      <c r="P474" s="102"/>
      <c r="Q474" s="130"/>
      <c r="R474" s="132"/>
    </row>
    <row r="475" spans="8:18" s="75" customFormat="1">
      <c r="H475" s="102"/>
      <c r="I475" s="118"/>
      <c r="J475" s="102"/>
      <c r="K475" s="102"/>
      <c r="L475" s="102"/>
      <c r="M475" s="102"/>
      <c r="N475" s="102"/>
      <c r="O475" s="102"/>
      <c r="P475" s="102"/>
      <c r="Q475" s="130"/>
      <c r="R475" s="132"/>
    </row>
    <row r="476" spans="8:18" s="75" customFormat="1">
      <c r="H476" s="102"/>
      <c r="I476" s="118"/>
      <c r="J476" s="102"/>
      <c r="K476" s="102"/>
      <c r="L476" s="102"/>
      <c r="M476" s="102"/>
      <c r="N476" s="102"/>
      <c r="O476" s="102"/>
      <c r="P476" s="102"/>
      <c r="Q476" s="130"/>
      <c r="R476" s="132"/>
    </row>
    <row r="477" spans="8:18" s="75" customFormat="1">
      <c r="H477" s="102"/>
      <c r="I477" s="118"/>
      <c r="J477" s="102"/>
      <c r="K477" s="102"/>
      <c r="L477" s="102"/>
      <c r="M477" s="102"/>
      <c r="N477" s="102"/>
      <c r="O477" s="102"/>
      <c r="P477" s="102"/>
      <c r="Q477" s="130"/>
      <c r="R477" s="132"/>
    </row>
    <row r="478" spans="8:18" s="75" customFormat="1">
      <c r="H478" s="102"/>
      <c r="I478" s="118"/>
      <c r="J478" s="102"/>
      <c r="K478" s="102"/>
      <c r="L478" s="102"/>
      <c r="M478" s="102"/>
      <c r="N478" s="102"/>
      <c r="O478" s="102"/>
      <c r="P478" s="102"/>
      <c r="Q478" s="130"/>
      <c r="R478" s="132"/>
    </row>
    <row r="479" spans="8:18" s="75" customFormat="1">
      <c r="H479" s="102"/>
      <c r="I479" s="118"/>
      <c r="J479" s="102"/>
      <c r="K479" s="102"/>
      <c r="L479" s="102"/>
      <c r="M479" s="102"/>
      <c r="N479" s="102"/>
      <c r="O479" s="102"/>
      <c r="P479" s="102"/>
      <c r="Q479" s="130"/>
      <c r="R479" s="132"/>
    </row>
    <row r="480" spans="8:18" s="75" customFormat="1">
      <c r="H480" s="102"/>
      <c r="I480" s="118"/>
      <c r="J480" s="102"/>
      <c r="K480" s="102"/>
      <c r="L480" s="102"/>
      <c r="M480" s="102"/>
      <c r="N480" s="102"/>
      <c r="O480" s="102"/>
      <c r="P480" s="102"/>
      <c r="Q480" s="130"/>
      <c r="R480" s="132"/>
    </row>
    <row r="481" spans="8:18" s="75" customFormat="1">
      <c r="H481" s="102"/>
      <c r="I481" s="118"/>
      <c r="J481" s="102"/>
      <c r="K481" s="102"/>
      <c r="L481" s="102"/>
      <c r="M481" s="102"/>
      <c r="N481" s="102"/>
      <c r="O481" s="102"/>
      <c r="P481" s="102"/>
      <c r="Q481" s="130"/>
      <c r="R481" s="132"/>
    </row>
    <row r="482" spans="8:18" s="75" customFormat="1">
      <c r="H482" s="102"/>
      <c r="I482" s="118"/>
      <c r="J482" s="102"/>
      <c r="K482" s="102"/>
      <c r="L482" s="102"/>
      <c r="M482" s="102"/>
      <c r="N482" s="102"/>
      <c r="O482" s="102"/>
      <c r="P482" s="102"/>
      <c r="Q482" s="130"/>
      <c r="R482" s="132"/>
    </row>
    <row r="483" spans="8:18" s="75" customFormat="1">
      <c r="H483" s="102"/>
      <c r="I483" s="118"/>
      <c r="J483" s="102"/>
      <c r="K483" s="102"/>
      <c r="L483" s="102"/>
      <c r="M483" s="102"/>
      <c r="N483" s="102"/>
      <c r="O483" s="102"/>
      <c r="P483" s="102"/>
      <c r="Q483" s="130"/>
      <c r="R483" s="132"/>
    </row>
    <row r="484" spans="8:18" s="75" customFormat="1">
      <c r="H484" s="102"/>
      <c r="I484" s="118"/>
      <c r="J484" s="102"/>
      <c r="K484" s="102"/>
      <c r="L484" s="102"/>
      <c r="M484" s="102"/>
      <c r="N484" s="102"/>
      <c r="O484" s="102"/>
      <c r="P484" s="102"/>
      <c r="Q484" s="130"/>
      <c r="R484" s="132"/>
    </row>
    <row r="485" spans="8:18" s="75" customFormat="1">
      <c r="H485" s="102"/>
      <c r="I485" s="118"/>
      <c r="J485" s="102"/>
      <c r="K485" s="102"/>
      <c r="L485" s="102"/>
      <c r="M485" s="102"/>
      <c r="N485" s="102"/>
      <c r="O485" s="102"/>
      <c r="P485" s="102"/>
      <c r="Q485" s="130"/>
      <c r="R485" s="132"/>
    </row>
    <row r="486" spans="8:18" s="75" customFormat="1">
      <c r="H486" s="102"/>
      <c r="I486" s="118"/>
      <c r="J486" s="102"/>
      <c r="K486" s="102"/>
      <c r="L486" s="102"/>
      <c r="M486" s="102"/>
      <c r="N486" s="102"/>
      <c r="O486" s="102"/>
      <c r="P486" s="102"/>
      <c r="Q486" s="130"/>
      <c r="R486" s="132"/>
    </row>
    <row r="487" spans="8:18" s="75" customFormat="1">
      <c r="H487" s="102"/>
      <c r="I487" s="118"/>
      <c r="J487" s="102"/>
      <c r="K487" s="102"/>
      <c r="L487" s="102"/>
      <c r="M487" s="102"/>
      <c r="N487" s="102"/>
      <c r="O487" s="102"/>
      <c r="P487" s="102"/>
      <c r="Q487" s="130"/>
      <c r="R487" s="132"/>
    </row>
    <row r="488" spans="8:18" s="75" customFormat="1">
      <c r="H488" s="102"/>
      <c r="I488" s="118"/>
      <c r="J488" s="102"/>
      <c r="K488" s="102"/>
      <c r="L488" s="102"/>
      <c r="M488" s="102"/>
      <c r="N488" s="102"/>
      <c r="O488" s="102"/>
      <c r="P488" s="102"/>
      <c r="Q488" s="130"/>
      <c r="R488" s="132"/>
    </row>
    <row r="489" spans="8:18" s="75" customFormat="1">
      <c r="H489" s="102"/>
      <c r="I489" s="118"/>
      <c r="J489" s="102"/>
      <c r="K489" s="102"/>
      <c r="L489" s="102"/>
      <c r="M489" s="102"/>
      <c r="N489" s="102"/>
      <c r="O489" s="102"/>
      <c r="P489" s="102"/>
      <c r="Q489" s="130"/>
      <c r="R489" s="132"/>
    </row>
    <row r="490" spans="8:18" s="75" customFormat="1">
      <c r="H490" s="102"/>
      <c r="I490" s="118"/>
      <c r="J490" s="102"/>
      <c r="K490" s="102"/>
      <c r="L490" s="102"/>
      <c r="M490" s="102"/>
      <c r="N490" s="102"/>
      <c r="O490" s="102"/>
      <c r="P490" s="102"/>
      <c r="Q490" s="130"/>
      <c r="R490" s="132"/>
    </row>
    <row r="491" spans="8:18" s="75" customFormat="1">
      <c r="H491" s="102"/>
      <c r="I491" s="118"/>
      <c r="J491" s="102"/>
      <c r="K491" s="102"/>
      <c r="L491" s="102"/>
      <c r="M491" s="102"/>
      <c r="N491" s="102"/>
      <c r="O491" s="102"/>
      <c r="P491" s="102"/>
      <c r="Q491" s="130"/>
      <c r="R491" s="132"/>
    </row>
    <row r="492" spans="8:18" s="75" customFormat="1">
      <c r="H492" s="102"/>
      <c r="I492" s="118"/>
      <c r="J492" s="102"/>
      <c r="K492" s="102"/>
      <c r="L492" s="102"/>
      <c r="M492" s="102"/>
      <c r="N492" s="102"/>
      <c r="O492" s="102"/>
      <c r="P492" s="102"/>
      <c r="Q492" s="130"/>
      <c r="R492" s="132"/>
    </row>
    <row r="493" spans="8:18" s="75" customFormat="1">
      <c r="H493" s="102"/>
      <c r="I493" s="118"/>
      <c r="J493" s="102"/>
      <c r="K493" s="102"/>
      <c r="L493" s="102"/>
      <c r="M493" s="102"/>
      <c r="N493" s="102"/>
      <c r="O493" s="102"/>
      <c r="P493" s="102"/>
      <c r="Q493" s="130"/>
      <c r="R493" s="132"/>
    </row>
    <row r="494" spans="8:18" s="75" customFormat="1">
      <c r="H494" s="102"/>
      <c r="I494" s="118"/>
      <c r="J494" s="102"/>
      <c r="K494" s="102"/>
      <c r="L494" s="102"/>
      <c r="M494" s="102"/>
      <c r="N494" s="102"/>
      <c r="O494" s="102"/>
      <c r="P494" s="102"/>
      <c r="Q494" s="130"/>
      <c r="R494" s="132"/>
    </row>
    <row r="495" spans="8:18" s="75" customFormat="1">
      <c r="H495" s="102"/>
      <c r="I495" s="118"/>
      <c r="J495" s="102"/>
      <c r="K495" s="102"/>
      <c r="L495" s="102"/>
      <c r="M495" s="102"/>
      <c r="N495" s="102"/>
      <c r="O495" s="102"/>
      <c r="P495" s="102"/>
      <c r="Q495" s="130"/>
      <c r="R495" s="132"/>
    </row>
    <row r="496" spans="8:18" s="75" customFormat="1">
      <c r="H496" s="102"/>
      <c r="I496" s="118"/>
      <c r="J496" s="102"/>
      <c r="K496" s="102"/>
      <c r="L496" s="102"/>
      <c r="M496" s="102"/>
      <c r="N496" s="102"/>
      <c r="O496" s="102"/>
      <c r="P496" s="102"/>
      <c r="Q496" s="130"/>
      <c r="R496" s="132"/>
    </row>
    <row r="497" spans="8:18" s="75" customFormat="1">
      <c r="H497" s="102"/>
      <c r="I497" s="118"/>
      <c r="J497" s="102"/>
      <c r="K497" s="102"/>
      <c r="L497" s="102"/>
      <c r="M497" s="102"/>
      <c r="N497" s="102"/>
      <c r="O497" s="102"/>
      <c r="P497" s="102"/>
      <c r="Q497" s="130"/>
      <c r="R497" s="132"/>
    </row>
    <row r="498" spans="8:18" s="75" customFormat="1">
      <c r="H498" s="102"/>
      <c r="I498" s="118"/>
      <c r="J498" s="102"/>
      <c r="K498" s="102"/>
      <c r="L498" s="102"/>
      <c r="M498" s="102"/>
      <c r="N498" s="102"/>
      <c r="O498" s="102"/>
      <c r="P498" s="102"/>
      <c r="Q498" s="130"/>
      <c r="R498" s="132"/>
    </row>
    <row r="499" spans="8:18" s="75" customFormat="1">
      <c r="H499" s="102"/>
      <c r="I499" s="118"/>
      <c r="J499" s="102"/>
      <c r="K499" s="102"/>
      <c r="L499" s="102"/>
      <c r="M499" s="102"/>
      <c r="N499" s="102"/>
      <c r="O499" s="102"/>
      <c r="P499" s="102"/>
      <c r="Q499" s="130"/>
      <c r="R499" s="132"/>
    </row>
    <row r="500" spans="8:18" s="75" customFormat="1">
      <c r="H500" s="102"/>
      <c r="I500" s="118"/>
      <c r="J500" s="102"/>
      <c r="K500" s="102"/>
      <c r="L500" s="102"/>
      <c r="M500" s="102"/>
      <c r="N500" s="102"/>
      <c r="O500" s="102"/>
      <c r="P500" s="102"/>
      <c r="Q500" s="130"/>
      <c r="R500" s="132"/>
    </row>
    <row r="501" spans="8:18" s="75" customFormat="1">
      <c r="H501" s="102"/>
      <c r="I501" s="118"/>
      <c r="J501" s="102"/>
      <c r="K501" s="102"/>
      <c r="L501" s="102"/>
      <c r="M501" s="102"/>
      <c r="N501" s="102"/>
      <c r="O501" s="102"/>
      <c r="P501" s="102"/>
      <c r="Q501" s="130"/>
      <c r="R501" s="132"/>
    </row>
    <row r="502" spans="8:18" s="75" customFormat="1">
      <c r="H502" s="102"/>
      <c r="I502" s="118"/>
      <c r="J502" s="102"/>
      <c r="K502" s="102"/>
      <c r="L502" s="102"/>
      <c r="M502" s="102"/>
      <c r="N502" s="102"/>
      <c r="O502" s="102"/>
      <c r="P502" s="102"/>
      <c r="Q502" s="130"/>
      <c r="R502" s="132"/>
    </row>
    <row r="503" spans="8:18" s="75" customFormat="1">
      <c r="H503" s="102"/>
      <c r="I503" s="118"/>
      <c r="J503" s="102"/>
      <c r="K503" s="102"/>
      <c r="L503" s="102"/>
      <c r="M503" s="102"/>
      <c r="N503" s="102"/>
      <c r="O503" s="102"/>
      <c r="P503" s="102"/>
      <c r="Q503" s="130"/>
      <c r="R503" s="132"/>
    </row>
    <row r="504" spans="8:18" s="75" customFormat="1">
      <c r="H504" s="102"/>
      <c r="I504" s="118"/>
      <c r="J504" s="102"/>
      <c r="K504" s="102"/>
      <c r="L504" s="102"/>
      <c r="M504" s="102"/>
      <c r="N504" s="102"/>
      <c r="O504" s="102"/>
      <c r="P504" s="102"/>
      <c r="Q504" s="130"/>
      <c r="R504" s="132"/>
    </row>
    <row r="505" spans="8:18" s="75" customFormat="1">
      <c r="H505" s="102"/>
      <c r="I505" s="118"/>
      <c r="J505" s="102"/>
      <c r="K505" s="102"/>
      <c r="L505" s="102"/>
      <c r="M505" s="102"/>
      <c r="N505" s="102"/>
      <c r="O505" s="102"/>
      <c r="P505" s="102"/>
      <c r="Q505" s="130"/>
      <c r="R505" s="132"/>
    </row>
    <row r="506" spans="8:18" s="75" customFormat="1">
      <c r="H506" s="102"/>
      <c r="I506" s="118"/>
      <c r="J506" s="102"/>
      <c r="K506" s="102"/>
      <c r="L506" s="102"/>
      <c r="M506" s="102"/>
      <c r="N506" s="102"/>
      <c r="O506" s="102"/>
      <c r="P506" s="102"/>
      <c r="Q506" s="130"/>
      <c r="R506" s="132"/>
    </row>
    <row r="507" spans="8:18" s="75" customFormat="1">
      <c r="H507" s="102"/>
      <c r="I507" s="118"/>
      <c r="J507" s="102"/>
      <c r="K507" s="102"/>
      <c r="L507" s="102"/>
      <c r="M507" s="102"/>
      <c r="N507" s="102"/>
      <c r="O507" s="102"/>
      <c r="P507" s="102"/>
      <c r="Q507" s="130"/>
      <c r="R507" s="132"/>
    </row>
    <row r="508" spans="8:18" s="75" customFormat="1">
      <c r="H508" s="102"/>
      <c r="I508" s="118"/>
      <c r="J508" s="102"/>
      <c r="K508" s="102"/>
      <c r="L508" s="102"/>
      <c r="M508" s="102"/>
      <c r="N508" s="102"/>
      <c r="O508" s="102"/>
      <c r="P508" s="102"/>
      <c r="Q508" s="130"/>
      <c r="R508" s="132"/>
    </row>
    <row r="509" spans="8:18" s="75" customFormat="1">
      <c r="H509" s="102"/>
      <c r="I509" s="118"/>
      <c r="J509" s="102"/>
      <c r="K509" s="102"/>
      <c r="L509" s="102"/>
      <c r="M509" s="102"/>
      <c r="N509" s="102"/>
      <c r="O509" s="102"/>
      <c r="P509" s="102"/>
      <c r="Q509" s="130"/>
      <c r="R509" s="132"/>
    </row>
    <row r="510" spans="8:18" s="75" customFormat="1">
      <c r="H510" s="102"/>
      <c r="I510" s="118"/>
      <c r="J510" s="102"/>
      <c r="K510" s="102"/>
      <c r="L510" s="102"/>
      <c r="M510" s="102"/>
      <c r="N510" s="102"/>
      <c r="O510" s="102"/>
      <c r="P510" s="102"/>
      <c r="Q510" s="130"/>
      <c r="R510" s="132"/>
    </row>
    <row r="511" spans="8:18" s="75" customFormat="1">
      <c r="H511" s="102"/>
      <c r="I511" s="118"/>
      <c r="J511" s="102"/>
      <c r="K511" s="102"/>
      <c r="L511" s="102"/>
      <c r="M511" s="102"/>
      <c r="N511" s="102"/>
      <c r="O511" s="102"/>
      <c r="P511" s="102"/>
      <c r="Q511" s="130"/>
      <c r="R511" s="132"/>
    </row>
    <row r="512" spans="8:18" s="75" customFormat="1">
      <c r="H512" s="102"/>
      <c r="I512" s="118"/>
      <c r="J512" s="102"/>
      <c r="K512" s="102"/>
      <c r="L512" s="102"/>
      <c r="M512" s="102"/>
      <c r="N512" s="102"/>
      <c r="O512" s="102"/>
      <c r="P512" s="102"/>
      <c r="Q512" s="130"/>
      <c r="R512" s="132"/>
    </row>
    <row r="513" spans="8:18" s="75" customFormat="1">
      <c r="H513" s="102"/>
      <c r="I513" s="118"/>
      <c r="J513" s="102"/>
      <c r="K513" s="102"/>
      <c r="L513" s="102"/>
      <c r="M513" s="102"/>
      <c r="N513" s="102"/>
      <c r="O513" s="102"/>
      <c r="P513" s="102"/>
      <c r="Q513" s="130"/>
      <c r="R513" s="132"/>
    </row>
    <row r="514" spans="8:18" s="75" customFormat="1">
      <c r="H514" s="102"/>
      <c r="I514" s="118"/>
      <c r="J514" s="102"/>
      <c r="K514" s="102"/>
      <c r="L514" s="102"/>
      <c r="M514" s="102"/>
      <c r="N514" s="102"/>
      <c r="O514" s="102"/>
      <c r="P514" s="102"/>
      <c r="Q514" s="130"/>
      <c r="R514" s="132"/>
    </row>
    <row r="515" spans="8:18" s="75" customFormat="1">
      <c r="H515" s="102"/>
      <c r="I515" s="118"/>
      <c r="J515" s="102"/>
      <c r="K515" s="102"/>
      <c r="L515" s="102"/>
      <c r="M515" s="102"/>
      <c r="N515" s="102"/>
      <c r="O515" s="102"/>
      <c r="P515" s="102"/>
      <c r="Q515" s="130"/>
      <c r="R515" s="132"/>
    </row>
    <row r="516" spans="8:18" s="75" customFormat="1">
      <c r="H516" s="102"/>
      <c r="I516" s="118"/>
      <c r="J516" s="102"/>
      <c r="K516" s="102"/>
      <c r="L516" s="102"/>
      <c r="M516" s="102"/>
      <c r="N516" s="102"/>
      <c r="O516" s="102"/>
      <c r="P516" s="102"/>
      <c r="Q516" s="130"/>
      <c r="R516" s="132"/>
    </row>
    <row r="517" spans="8:18" s="75" customFormat="1">
      <c r="H517" s="102"/>
      <c r="I517" s="118"/>
      <c r="J517" s="102"/>
      <c r="K517" s="102"/>
      <c r="L517" s="102"/>
      <c r="M517" s="102"/>
      <c r="N517" s="102"/>
      <c r="O517" s="102"/>
      <c r="P517" s="102"/>
      <c r="Q517" s="130"/>
      <c r="R517" s="132"/>
    </row>
    <row r="518" spans="8:18" s="75" customFormat="1">
      <c r="H518" s="102"/>
      <c r="I518" s="118"/>
      <c r="J518" s="102"/>
      <c r="K518" s="102"/>
      <c r="L518" s="102"/>
      <c r="M518" s="102"/>
      <c r="N518" s="102"/>
      <c r="O518" s="102"/>
      <c r="P518" s="102"/>
      <c r="Q518" s="130"/>
      <c r="R518" s="132"/>
    </row>
    <row r="519" spans="8:18" s="75" customFormat="1">
      <c r="H519" s="102"/>
      <c r="I519" s="118"/>
      <c r="J519" s="102"/>
      <c r="K519" s="102"/>
      <c r="L519" s="102"/>
      <c r="M519" s="102"/>
      <c r="N519" s="102"/>
      <c r="O519" s="102"/>
      <c r="P519" s="102"/>
      <c r="Q519" s="130"/>
      <c r="R519" s="132"/>
    </row>
    <row r="520" spans="8:18" s="75" customFormat="1">
      <c r="H520" s="102"/>
      <c r="I520" s="118"/>
      <c r="J520" s="102"/>
      <c r="K520" s="102"/>
      <c r="L520" s="102"/>
      <c r="M520" s="102"/>
      <c r="N520" s="102"/>
      <c r="O520" s="102"/>
      <c r="P520" s="102"/>
      <c r="Q520" s="130"/>
      <c r="R520" s="132"/>
    </row>
    <row r="521" spans="8:18" s="75" customFormat="1">
      <c r="H521" s="102"/>
      <c r="I521" s="118"/>
      <c r="J521" s="102"/>
      <c r="K521" s="102"/>
      <c r="L521" s="102"/>
      <c r="M521" s="102"/>
      <c r="N521" s="102"/>
      <c r="O521" s="102"/>
      <c r="P521" s="102"/>
      <c r="Q521" s="130"/>
      <c r="R521" s="132"/>
    </row>
    <row r="522" spans="8:18" s="75" customFormat="1">
      <c r="H522" s="102"/>
      <c r="I522" s="118"/>
      <c r="J522" s="102"/>
      <c r="K522" s="102"/>
      <c r="L522" s="102"/>
      <c r="M522" s="102"/>
      <c r="N522" s="102"/>
      <c r="O522" s="102"/>
      <c r="P522" s="102"/>
      <c r="Q522" s="130"/>
      <c r="R522" s="132"/>
    </row>
    <row r="523" spans="8:18" s="75" customFormat="1">
      <c r="H523" s="102"/>
      <c r="I523" s="118"/>
      <c r="J523" s="102"/>
      <c r="K523" s="102"/>
      <c r="L523" s="102"/>
      <c r="M523" s="102"/>
      <c r="N523" s="102"/>
      <c r="O523" s="102"/>
      <c r="P523" s="102"/>
      <c r="Q523" s="130"/>
      <c r="R523" s="132"/>
    </row>
    <row r="524" spans="8:18" s="75" customFormat="1">
      <c r="H524" s="102"/>
      <c r="I524" s="118"/>
      <c r="J524" s="102"/>
      <c r="K524" s="102"/>
      <c r="L524" s="102"/>
      <c r="M524" s="102"/>
      <c r="N524" s="102"/>
      <c r="O524" s="102"/>
      <c r="P524" s="102"/>
      <c r="Q524" s="130"/>
      <c r="R524" s="132"/>
    </row>
    <row r="525" spans="8:18" s="75" customFormat="1">
      <c r="H525" s="102"/>
      <c r="I525" s="118"/>
      <c r="J525" s="102"/>
      <c r="K525" s="102"/>
      <c r="L525" s="102"/>
      <c r="M525" s="102"/>
      <c r="N525" s="102"/>
      <c r="O525" s="102"/>
      <c r="P525" s="102"/>
      <c r="Q525" s="130"/>
      <c r="R525" s="132"/>
    </row>
    <row r="526" spans="8:18" s="75" customFormat="1">
      <c r="H526" s="102"/>
      <c r="I526" s="118"/>
      <c r="J526" s="102"/>
      <c r="K526" s="102"/>
      <c r="L526" s="102"/>
      <c r="M526" s="102"/>
      <c r="N526" s="102"/>
      <c r="O526" s="102"/>
      <c r="P526" s="102"/>
      <c r="Q526" s="130"/>
      <c r="R526" s="132"/>
    </row>
    <row r="527" spans="8:18" s="75" customFormat="1">
      <c r="H527" s="102"/>
      <c r="I527" s="118"/>
      <c r="J527" s="102"/>
      <c r="K527" s="102"/>
      <c r="L527" s="102"/>
      <c r="M527" s="102"/>
      <c r="N527" s="102"/>
      <c r="O527" s="102"/>
      <c r="P527" s="102"/>
      <c r="Q527" s="130"/>
      <c r="R527" s="132"/>
    </row>
    <row r="528" spans="8:18" s="75" customFormat="1">
      <c r="H528" s="102"/>
      <c r="I528" s="118"/>
      <c r="J528" s="102"/>
      <c r="K528" s="102"/>
      <c r="L528" s="102"/>
      <c r="M528" s="102"/>
      <c r="N528" s="102"/>
      <c r="O528" s="102"/>
      <c r="P528" s="102"/>
      <c r="Q528" s="130"/>
      <c r="R528" s="132"/>
    </row>
    <row r="529" spans="8:18" s="75" customFormat="1">
      <c r="H529" s="102"/>
      <c r="I529" s="118"/>
      <c r="J529" s="102"/>
      <c r="K529" s="102"/>
      <c r="L529" s="102"/>
      <c r="M529" s="102"/>
      <c r="N529" s="102"/>
      <c r="O529" s="102"/>
      <c r="P529" s="102"/>
      <c r="Q529" s="130"/>
      <c r="R529" s="132"/>
    </row>
    <row r="530" spans="8:18" s="75" customFormat="1">
      <c r="H530" s="102"/>
      <c r="I530" s="118"/>
      <c r="J530" s="102"/>
      <c r="K530" s="102"/>
      <c r="L530" s="102"/>
      <c r="M530" s="102"/>
      <c r="N530" s="102"/>
      <c r="O530" s="102"/>
      <c r="P530" s="102"/>
      <c r="Q530" s="130"/>
      <c r="R530" s="132"/>
    </row>
    <row r="531" spans="8:18" s="75" customFormat="1">
      <c r="H531" s="102"/>
      <c r="I531" s="118"/>
      <c r="J531" s="102"/>
      <c r="K531" s="102"/>
      <c r="L531" s="102"/>
      <c r="M531" s="102"/>
      <c r="N531" s="102"/>
      <c r="O531" s="102"/>
      <c r="P531" s="102"/>
      <c r="Q531" s="130"/>
      <c r="R531" s="132"/>
    </row>
    <row r="532" spans="8:18" s="75" customFormat="1">
      <c r="H532" s="102"/>
      <c r="I532" s="118"/>
      <c r="J532" s="102"/>
      <c r="K532" s="102"/>
      <c r="L532" s="102"/>
      <c r="M532" s="102"/>
      <c r="N532" s="102"/>
      <c r="O532" s="102"/>
      <c r="P532" s="102"/>
      <c r="Q532" s="130"/>
      <c r="R532" s="132"/>
    </row>
  </sheetData>
  <mergeCells count="45">
    <mergeCell ref="A30:H30"/>
    <mergeCell ref="I30:P30"/>
    <mergeCell ref="Q2:X2"/>
    <mergeCell ref="D7:G7"/>
    <mergeCell ref="L7:O7"/>
    <mergeCell ref="A29:H29"/>
    <mergeCell ref="I29:P29"/>
    <mergeCell ref="A123:H123"/>
    <mergeCell ref="I123:P123"/>
    <mergeCell ref="D39:G39"/>
    <mergeCell ref="L39:O39"/>
    <mergeCell ref="A61:H61"/>
    <mergeCell ref="I61:P61"/>
    <mergeCell ref="D70:G70"/>
    <mergeCell ref="L70:O70"/>
    <mergeCell ref="A92:H92"/>
    <mergeCell ref="I92:P92"/>
    <mergeCell ref="B100:H100"/>
    <mergeCell ref="D101:G101"/>
    <mergeCell ref="L101:O101"/>
    <mergeCell ref="D132:G132"/>
    <mergeCell ref="L132:O132"/>
    <mergeCell ref="A154:H154"/>
    <mergeCell ref="I154:P154"/>
    <mergeCell ref="D162:G162"/>
    <mergeCell ref="L162:O162"/>
    <mergeCell ref="A308:H308"/>
    <mergeCell ref="A184:H184"/>
    <mergeCell ref="I184:P184"/>
    <mergeCell ref="D193:G193"/>
    <mergeCell ref="L193:O193"/>
    <mergeCell ref="A215:H215"/>
    <mergeCell ref="I215:P215"/>
    <mergeCell ref="D224:G224"/>
    <mergeCell ref="A246:H246"/>
    <mergeCell ref="D255:G255"/>
    <mergeCell ref="A277:H277"/>
    <mergeCell ref="D286:G286"/>
    <mergeCell ref="D438:G438"/>
    <mergeCell ref="D317:G317"/>
    <mergeCell ref="A339:H339"/>
    <mergeCell ref="D347:G347"/>
    <mergeCell ref="A369:H369"/>
    <mergeCell ref="D378:G378"/>
    <mergeCell ref="D408:G408"/>
  </mergeCells>
  <conditionalFormatting sqref="Q1:R7 Q9:R1048576">
    <cfRule type="cellIs" dxfId="814" priority="1" stopIfTrue="1" operator="notEqual">
      <formula>100</formula>
    </cfRule>
  </conditionalFormatting>
  <pageMargins left="0.7" right="0.7" top="0.75" bottom="0.75" header="0.3" footer="0.3"/>
  <pageSetup scale="99" firstPageNumber="91" orientation="landscape" useFirstPageNumber="1" r:id="rId1"/>
  <headerFooter>
    <oddHeader>&amp;R&amp;"Arial,Regular"&amp;8SREB-State Data Exchange</oddHeader>
    <oddFooter>&amp;CC-&amp;P</oddFooter>
  </headerFooter>
  <rowBreaks count="14" manualBreakCount="14">
    <brk id="32" max="15" man="1"/>
    <brk id="63" max="15" man="1"/>
    <brk id="94" max="15" man="1"/>
    <brk id="125" max="15" man="1"/>
    <brk id="155" max="15" man="1"/>
    <brk id="186" max="15" man="1"/>
    <brk id="217" max="15" man="1"/>
    <brk id="248" max="15" man="1"/>
    <brk id="279" max="15" man="1"/>
    <brk id="310" max="15" man="1"/>
    <brk id="340" max="15" man="1"/>
    <brk id="371" max="15" man="1"/>
    <brk id="401" max="15" man="1"/>
    <brk id="431" max="15" man="1"/>
  </rowBreaks>
  <colBreaks count="1" manualBreakCount="1">
    <brk id="8"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00"/>
  </sheetPr>
  <dimension ref="A2:W617"/>
  <sheetViews>
    <sheetView showGridLines="0" zoomScale="90" zoomScaleNormal="90" workbookViewId="0">
      <pane xSplit="2" ySplit="5" topLeftCell="C354" activePane="bottomRight" state="frozen"/>
      <selection pane="topRight" activeCell="C1" sqref="C1"/>
      <selection pane="bottomLeft" activeCell="A6" sqref="A6"/>
      <selection pane="bottomRight" activeCell="T26" sqref="T26"/>
    </sheetView>
  </sheetViews>
  <sheetFormatPr defaultRowHeight="15"/>
  <cols>
    <col min="1" max="1" width="6" style="213" customWidth="1"/>
    <col min="2" max="2" width="22" style="213" customWidth="1"/>
    <col min="3" max="3" width="11.42578125" style="213" customWidth="1"/>
    <col min="4" max="4" width="11.42578125" style="232" customWidth="1"/>
    <col min="5" max="18" width="9.7109375" style="232" customWidth="1"/>
    <col min="19" max="19" width="9.140625" style="232" customWidth="1"/>
    <col min="20" max="22" width="9.140625" style="213" customWidth="1"/>
    <col min="23" max="16384" width="9.140625" style="213"/>
  </cols>
  <sheetData>
    <row r="2" spans="1:22">
      <c r="D2" s="232" t="s">
        <v>39</v>
      </c>
    </row>
    <row r="3" spans="1:22">
      <c r="A3" s="234"/>
      <c r="B3" s="235"/>
      <c r="C3" s="234" t="s">
        <v>86</v>
      </c>
      <c r="D3" s="236" t="s">
        <v>9</v>
      </c>
      <c r="E3" s="236"/>
      <c r="F3" s="237"/>
      <c r="G3" s="237"/>
      <c r="H3" s="237"/>
      <c r="I3" s="237"/>
      <c r="J3" s="237"/>
      <c r="K3" s="237"/>
      <c r="L3" s="237"/>
      <c r="M3" s="237"/>
      <c r="N3" s="237"/>
      <c r="O3" s="237"/>
      <c r="P3" s="237"/>
      <c r="Q3" s="237"/>
      <c r="R3" s="238"/>
      <c r="S3" s="15"/>
      <c r="T3" s="15"/>
      <c r="U3" s="15"/>
      <c r="V3" s="15"/>
    </row>
    <row r="4" spans="1:22">
      <c r="A4" s="239"/>
      <c r="B4" s="240"/>
      <c r="C4" s="239" t="s">
        <v>87</v>
      </c>
      <c r="D4" s="241"/>
      <c r="E4" s="240"/>
      <c r="F4" s="240"/>
      <c r="G4" s="240"/>
      <c r="H4" s="240"/>
      <c r="I4" s="240"/>
      <c r="J4" s="242" t="s">
        <v>87</v>
      </c>
      <c r="K4" s="239" t="s">
        <v>88</v>
      </c>
      <c r="L4" s="240"/>
      <c r="M4" s="240"/>
      <c r="N4" s="240"/>
      <c r="O4" s="239" t="s">
        <v>88</v>
      </c>
      <c r="P4" s="239" t="s">
        <v>89</v>
      </c>
      <c r="Q4" s="240"/>
      <c r="R4" s="243" t="s">
        <v>89</v>
      </c>
      <c r="S4" s="15"/>
      <c r="T4" s="15"/>
      <c r="U4" s="15"/>
      <c r="V4" s="15"/>
    </row>
    <row r="5" spans="1:22">
      <c r="A5" s="234" t="s">
        <v>4</v>
      </c>
      <c r="B5" s="234" t="s">
        <v>90</v>
      </c>
      <c r="C5" s="234">
        <v>1</v>
      </c>
      <c r="D5" s="244">
        <v>2</v>
      </c>
      <c r="E5" s="244">
        <v>3</v>
      </c>
      <c r="F5" s="244">
        <v>4</v>
      </c>
      <c r="G5" s="244">
        <v>5</v>
      </c>
      <c r="H5" s="244">
        <v>6</v>
      </c>
      <c r="I5" s="244">
        <v>15</v>
      </c>
      <c r="J5" s="245"/>
      <c r="K5" s="234">
        <v>7</v>
      </c>
      <c r="L5" s="244">
        <v>8</v>
      </c>
      <c r="M5" s="244">
        <v>9</v>
      </c>
      <c r="N5" s="244">
        <v>10</v>
      </c>
      <c r="O5" s="246"/>
      <c r="P5" s="234">
        <v>12</v>
      </c>
      <c r="Q5" s="244">
        <v>13</v>
      </c>
      <c r="R5" s="247"/>
      <c r="S5" s="15"/>
      <c r="T5" s="15"/>
      <c r="U5" s="15"/>
      <c r="V5" s="15"/>
    </row>
    <row r="6" spans="1:22">
      <c r="A6" s="248" t="s">
        <v>38</v>
      </c>
      <c r="B6" s="234" t="s">
        <v>91</v>
      </c>
      <c r="C6" s="249">
        <v>0.95605067100625774</v>
      </c>
      <c r="D6" s="250">
        <v>0.98763822402692147</v>
      </c>
      <c r="E6" s="250">
        <v>0.82589771603866657</v>
      </c>
      <c r="F6" s="250">
        <v>0.90336655813132027</v>
      </c>
      <c r="G6" s="250">
        <v>0.95848264232322089</v>
      </c>
      <c r="H6" s="250">
        <v>0.24670927233994844</v>
      </c>
      <c r="I6" s="250">
        <v>0</v>
      </c>
      <c r="J6" s="251">
        <v>0.89402747127563076</v>
      </c>
      <c r="K6" s="249">
        <v>0</v>
      </c>
      <c r="L6" s="250">
        <v>0.58515313788471213</v>
      </c>
      <c r="M6" s="250">
        <v>0.63660062435274689</v>
      </c>
      <c r="N6" s="250">
        <v>0.62637655417406746</v>
      </c>
      <c r="O6" s="249">
        <v>0.61714697705298971</v>
      </c>
      <c r="P6" s="249">
        <v>0.402276887181447</v>
      </c>
      <c r="Q6" s="250">
        <v>0.71041784836453015</v>
      </c>
      <c r="R6" s="252">
        <v>0.59170721879552424</v>
      </c>
      <c r="S6" s="15"/>
      <c r="T6" s="15"/>
      <c r="U6" s="15"/>
      <c r="V6" s="15"/>
    </row>
    <row r="7" spans="1:22">
      <c r="A7" s="253"/>
      <c r="B7" s="254" t="s">
        <v>92</v>
      </c>
      <c r="C7" s="255">
        <v>0.9494574611523553</v>
      </c>
      <c r="D7" s="256">
        <v>0.98364031869843349</v>
      </c>
      <c r="E7" s="256">
        <v>0.78808557399120893</v>
      </c>
      <c r="F7" s="256">
        <v>0.89225686596135023</v>
      </c>
      <c r="G7" s="256">
        <v>0.9475295777357402</v>
      </c>
      <c r="H7" s="256">
        <v>0.24173298172738092</v>
      </c>
      <c r="I7" s="256">
        <v>0</v>
      </c>
      <c r="J7" s="257">
        <v>0.87782861910309073</v>
      </c>
      <c r="K7" s="255">
        <v>0</v>
      </c>
      <c r="L7" s="256">
        <v>0.64651501764579622</v>
      </c>
      <c r="M7" s="256">
        <v>0.64488193562464191</v>
      </c>
      <c r="N7" s="256">
        <v>0.615121658367765</v>
      </c>
      <c r="O7" s="255">
        <v>0.64169665761456851</v>
      </c>
      <c r="P7" s="255">
        <v>0.4333966304391742</v>
      </c>
      <c r="Q7" s="256">
        <v>0.66522179461211262</v>
      </c>
      <c r="R7" s="258">
        <v>0.57234312908212404</v>
      </c>
      <c r="S7" s="15"/>
      <c r="T7" s="15"/>
      <c r="U7" s="15"/>
      <c r="V7" s="15"/>
    </row>
    <row r="8" spans="1:22">
      <c r="A8" s="253"/>
      <c r="B8" s="317" t="s">
        <v>93</v>
      </c>
      <c r="C8" s="318">
        <v>-0.65932098539024375</v>
      </c>
      <c r="D8" s="319">
        <v>-0.39979053284879829</v>
      </c>
      <c r="E8" s="331">
        <v>-3.7812142047457642</v>
      </c>
      <c r="F8" s="319">
        <v>-1.1109692169970042</v>
      </c>
      <c r="G8" s="319">
        <v>-1.0953064587480688</v>
      </c>
      <c r="H8" s="319">
        <v>-0.49762906125675188</v>
      </c>
      <c r="I8" s="319">
        <v>0</v>
      </c>
      <c r="J8" s="320">
        <v>-1.6198852172540024</v>
      </c>
      <c r="K8" s="318">
        <v>0</v>
      </c>
      <c r="L8" s="331">
        <v>6.1361879761084097</v>
      </c>
      <c r="M8" s="319">
        <v>0.82813112718950199</v>
      </c>
      <c r="N8" s="319">
        <v>-1.1254895806302456</v>
      </c>
      <c r="O8" s="318">
        <v>2.4549680561578802</v>
      </c>
      <c r="P8" s="321">
        <v>3.1119743257727208</v>
      </c>
      <c r="Q8" s="331">
        <v>-4.5196053752417527</v>
      </c>
      <c r="R8" s="322">
        <v>-1.9364089713400201</v>
      </c>
      <c r="S8" s="15"/>
      <c r="T8" s="15"/>
      <c r="U8" s="15"/>
      <c r="V8" s="15"/>
    </row>
    <row r="9" spans="1:22">
      <c r="A9" s="253"/>
      <c r="B9" s="234" t="s">
        <v>94</v>
      </c>
      <c r="C9" s="249">
        <v>1.3815024500536211E-3</v>
      </c>
      <c r="D9" s="250">
        <v>0</v>
      </c>
      <c r="E9" s="250">
        <v>1.0394305845614567E-2</v>
      </c>
      <c r="F9" s="250">
        <v>5.4388435777718404E-3</v>
      </c>
      <c r="G9" s="250">
        <v>1.0758354547370811E-2</v>
      </c>
      <c r="H9" s="250">
        <v>4.5105953582240163E-2</v>
      </c>
      <c r="I9" s="250">
        <v>0</v>
      </c>
      <c r="J9" s="251">
        <v>5.9790211261551819E-3</v>
      </c>
      <c r="K9" s="249">
        <v>0</v>
      </c>
      <c r="L9" s="250">
        <v>0.22611946604099598</v>
      </c>
      <c r="M9" s="250">
        <v>0.22784805921634513</v>
      </c>
      <c r="N9" s="250">
        <v>0.15213143872113677</v>
      </c>
      <c r="O9" s="249">
        <v>0.2176564207366834</v>
      </c>
      <c r="P9" s="249">
        <v>0.52249733491562245</v>
      </c>
      <c r="Q9" s="250">
        <v>0.20820570996407639</v>
      </c>
      <c r="R9" s="252">
        <v>0.32928586926200293</v>
      </c>
      <c r="S9" s="15"/>
      <c r="T9" s="15"/>
      <c r="U9" s="15"/>
      <c r="V9" s="15"/>
    </row>
    <row r="10" spans="1:22">
      <c r="A10" s="253"/>
      <c r="B10" s="254" t="s">
        <v>95</v>
      </c>
      <c r="C10" s="255">
        <v>2.2786757494765969E-4</v>
      </c>
      <c r="D10" s="256">
        <v>0</v>
      </c>
      <c r="E10" s="256">
        <v>6.8170118401774046E-3</v>
      </c>
      <c r="F10" s="256">
        <v>8.3518222473111057E-3</v>
      </c>
      <c r="G10" s="256">
        <v>6.4045015870980151E-3</v>
      </c>
      <c r="H10" s="256">
        <v>4.4666402184313087E-2</v>
      </c>
      <c r="I10" s="256">
        <v>0</v>
      </c>
      <c r="J10" s="257">
        <v>4.5586446002950391E-3</v>
      </c>
      <c r="K10" s="255">
        <v>0</v>
      </c>
      <c r="L10" s="256">
        <v>0.14994808591780603</v>
      </c>
      <c r="M10" s="256">
        <v>0.2064698738728401</v>
      </c>
      <c r="N10" s="256">
        <v>0.15718473002083555</v>
      </c>
      <c r="O10" s="255">
        <v>0.17995866372596528</v>
      </c>
      <c r="P10" s="255">
        <v>0.49787887358086541</v>
      </c>
      <c r="Q10" s="256">
        <v>0.21340895280534738</v>
      </c>
      <c r="R10" s="258">
        <v>0.32737926624958519</v>
      </c>
      <c r="S10" s="15"/>
      <c r="T10" s="15"/>
      <c r="U10" s="15"/>
      <c r="V10" s="15"/>
    </row>
    <row r="11" spans="1:22">
      <c r="A11" s="253"/>
      <c r="B11" s="317" t="s">
        <v>96</v>
      </c>
      <c r="C11" s="318">
        <v>-0.11536348751059614</v>
      </c>
      <c r="D11" s="319">
        <v>0</v>
      </c>
      <c r="E11" s="319">
        <v>-0.35772940054371627</v>
      </c>
      <c r="F11" s="319">
        <v>0.29129786695392651</v>
      </c>
      <c r="G11" s="319">
        <v>-0.4353852960272796</v>
      </c>
      <c r="H11" s="319">
        <v>-4.3955139792707654E-2</v>
      </c>
      <c r="I11" s="319">
        <v>0</v>
      </c>
      <c r="J11" s="320">
        <v>-0.14203765258601428</v>
      </c>
      <c r="K11" s="318">
        <v>0</v>
      </c>
      <c r="L11" s="331">
        <v>-7.6171380123189945</v>
      </c>
      <c r="M11" s="319">
        <v>-2.1378185343505023</v>
      </c>
      <c r="N11" s="319">
        <v>0.50532912996987811</v>
      </c>
      <c r="O11" s="318">
        <v>-3.7697757010718118</v>
      </c>
      <c r="P11" s="321">
        <v>-2.4618461334757038</v>
      </c>
      <c r="Q11" s="319">
        <v>0.52032428412709941</v>
      </c>
      <c r="R11" s="322">
        <v>-0.19066030124177402</v>
      </c>
      <c r="S11" s="15"/>
      <c r="T11" s="15"/>
      <c r="U11" s="15"/>
      <c r="V11" s="15"/>
    </row>
    <row r="12" spans="1:22">
      <c r="A12" s="253"/>
      <c r="B12" s="234" t="s">
        <v>97</v>
      </c>
      <c r="C12" s="249">
        <v>3.9979687203583518E-2</v>
      </c>
      <c r="D12" s="250">
        <v>1.2324523006811083E-2</v>
      </c>
      <c r="E12" s="250">
        <v>0.15787930796106736</v>
      </c>
      <c r="F12" s="250">
        <v>9.1194598290907938E-2</v>
      </c>
      <c r="G12" s="250">
        <v>3.0759003129408331E-2</v>
      </c>
      <c r="H12" s="250">
        <v>0.70818477407781144</v>
      </c>
      <c r="I12" s="250">
        <v>0</v>
      </c>
      <c r="J12" s="251">
        <v>9.7100781913611378E-2</v>
      </c>
      <c r="K12" s="249">
        <v>0</v>
      </c>
      <c r="L12" s="250">
        <v>0.15646257670364441</v>
      </c>
      <c r="M12" s="250">
        <v>0.11993917585105225</v>
      </c>
      <c r="N12" s="250">
        <v>0.21666552807760622</v>
      </c>
      <c r="O12" s="249">
        <v>0.14507128580715659</v>
      </c>
      <c r="P12" s="249">
        <v>7.5225777902930585E-2</v>
      </c>
      <c r="Q12" s="250">
        <v>8.1376441671393462E-2</v>
      </c>
      <c r="R12" s="252">
        <v>7.9006911942472807E-2</v>
      </c>
      <c r="S12" s="15"/>
      <c r="T12" s="15"/>
      <c r="U12" s="15"/>
      <c r="V12" s="15"/>
    </row>
    <row r="13" spans="1:22">
      <c r="A13" s="253"/>
      <c r="B13" s="254" t="s">
        <v>98</v>
      </c>
      <c r="C13" s="255">
        <v>4.6853853794624589E-2</v>
      </c>
      <c r="D13" s="256">
        <v>1.6359681301566464E-2</v>
      </c>
      <c r="E13" s="256">
        <v>0.20242446442006889</v>
      </c>
      <c r="F13" s="256">
        <v>9.939131179133863E-2</v>
      </c>
      <c r="G13" s="256">
        <v>4.6065920677161823E-2</v>
      </c>
      <c r="H13" s="256">
        <v>0.71360061608830594</v>
      </c>
      <c r="I13" s="256">
        <v>0</v>
      </c>
      <c r="J13" s="257">
        <v>0.11519931889698759</v>
      </c>
      <c r="K13" s="255">
        <v>0</v>
      </c>
      <c r="L13" s="256">
        <v>0.17339553039719266</v>
      </c>
      <c r="M13" s="256">
        <v>0.135071417580956</v>
      </c>
      <c r="N13" s="256">
        <v>0.22614683758872761</v>
      </c>
      <c r="O13" s="255">
        <v>0.16035279467308861</v>
      </c>
      <c r="P13" s="255">
        <v>6.8724495979960401E-2</v>
      </c>
      <c r="Q13" s="256">
        <v>0.12136925258254</v>
      </c>
      <c r="R13" s="258">
        <v>0.10027760466829075</v>
      </c>
      <c r="S13" s="15"/>
      <c r="T13" s="15"/>
      <c r="U13" s="15"/>
      <c r="V13" s="15"/>
    </row>
    <row r="14" spans="1:22" s="259" customFormat="1">
      <c r="A14" s="253"/>
      <c r="B14" s="317" t="s">
        <v>99</v>
      </c>
      <c r="C14" s="318">
        <v>0.6874166591041071</v>
      </c>
      <c r="D14" s="319">
        <v>0.40351582947553805</v>
      </c>
      <c r="E14" s="331">
        <v>4.4545156459001536</v>
      </c>
      <c r="F14" s="319">
        <v>0.81967135004306912</v>
      </c>
      <c r="G14" s="319">
        <v>1.5306917547753491</v>
      </c>
      <c r="H14" s="319">
        <v>0.54158420104944982</v>
      </c>
      <c r="I14" s="319">
        <v>0</v>
      </c>
      <c r="J14" s="320">
        <v>1.8098536983376212</v>
      </c>
      <c r="K14" s="318">
        <v>0</v>
      </c>
      <c r="L14" s="319">
        <v>1.6932953693548247</v>
      </c>
      <c r="M14" s="319">
        <v>1.5132241729903753</v>
      </c>
      <c r="N14" s="319">
        <v>0.94813095111213885</v>
      </c>
      <c r="O14" s="318">
        <v>1.5281508865932021</v>
      </c>
      <c r="P14" s="321">
        <v>-0.65012819229701835</v>
      </c>
      <c r="Q14" s="319">
        <v>3.9992810911146535</v>
      </c>
      <c r="R14" s="322">
        <v>2.1270692725817941</v>
      </c>
      <c r="S14" s="15"/>
      <c r="T14" s="15"/>
      <c r="U14" s="15"/>
      <c r="V14" s="15"/>
    </row>
    <row r="15" spans="1:22">
      <c r="A15" s="253"/>
      <c r="B15" s="234" t="s">
        <v>100</v>
      </c>
      <c r="C15" s="249">
        <v>3.7360575365765841E-4</v>
      </c>
      <c r="D15" s="250">
        <v>3.7252966267439043E-5</v>
      </c>
      <c r="E15" s="250">
        <v>2.704868867915702E-3</v>
      </c>
      <c r="F15" s="250">
        <v>0</v>
      </c>
      <c r="G15" s="250">
        <v>0</v>
      </c>
      <c r="H15" s="250">
        <v>0</v>
      </c>
      <c r="I15" s="250">
        <v>0</v>
      </c>
      <c r="J15" s="251">
        <v>9.5792983757573722E-4</v>
      </c>
      <c r="K15" s="249">
        <v>0</v>
      </c>
      <c r="L15" s="250">
        <v>2.2801386696578688E-3</v>
      </c>
      <c r="M15" s="250">
        <v>5.0850117969283969E-3</v>
      </c>
      <c r="N15" s="250">
        <v>2.3910370269162452E-3</v>
      </c>
      <c r="O15" s="249">
        <v>3.7540458110295032E-3</v>
      </c>
      <c r="P15" s="249">
        <v>0</v>
      </c>
      <c r="Q15" s="250">
        <v>0</v>
      </c>
      <c r="R15" s="252">
        <v>0</v>
      </c>
      <c r="S15" s="15"/>
      <c r="T15" s="15"/>
      <c r="U15" s="15"/>
      <c r="V15" s="15"/>
    </row>
    <row r="16" spans="1:22">
      <c r="A16" s="253"/>
      <c r="B16" s="254" t="s">
        <v>101</v>
      </c>
      <c r="C16" s="255">
        <v>3.883820269135526E-4</v>
      </c>
      <c r="D16" s="256">
        <v>0</v>
      </c>
      <c r="E16" s="256">
        <v>2.5303924286223418E-3</v>
      </c>
      <c r="F16" s="256">
        <v>0</v>
      </c>
      <c r="G16" s="256">
        <v>0</v>
      </c>
      <c r="H16" s="256">
        <v>0</v>
      </c>
      <c r="I16" s="256">
        <v>0</v>
      </c>
      <c r="J16" s="257">
        <v>9.3410263588867659E-4</v>
      </c>
      <c r="K16" s="255">
        <v>0</v>
      </c>
      <c r="L16" s="256">
        <v>2.1015219811212444E-3</v>
      </c>
      <c r="M16" s="256">
        <v>4.3760708725280283E-3</v>
      </c>
      <c r="N16" s="256">
        <v>1.0276512342409154E-3</v>
      </c>
      <c r="O16" s="255">
        <v>3.1362410122241359E-3</v>
      </c>
      <c r="P16" s="255">
        <v>0</v>
      </c>
      <c r="Q16" s="256">
        <v>0</v>
      </c>
      <c r="R16" s="258">
        <v>0</v>
      </c>
      <c r="S16" s="15"/>
      <c r="T16" s="15"/>
      <c r="U16" s="15"/>
      <c r="V16" s="15"/>
    </row>
    <row r="17" spans="1:22">
      <c r="A17" s="253"/>
      <c r="B17" s="317" t="s">
        <v>102</v>
      </c>
      <c r="C17" s="318">
        <v>1.4776273255894185E-3</v>
      </c>
      <c r="D17" s="319">
        <v>-3.7252966267439045E-3</v>
      </c>
      <c r="E17" s="319">
        <v>-1.7447643929336017E-2</v>
      </c>
      <c r="F17" s="319">
        <v>0</v>
      </c>
      <c r="G17" s="319">
        <v>0</v>
      </c>
      <c r="H17" s="319">
        <v>0</v>
      </c>
      <c r="I17" s="319">
        <v>0</v>
      </c>
      <c r="J17" s="320">
        <v>-2.3827201687060635E-3</v>
      </c>
      <c r="K17" s="318">
        <v>0</v>
      </c>
      <c r="L17" s="319">
        <v>-1.7861668853662437E-2</v>
      </c>
      <c r="M17" s="319">
        <v>-7.089409244003686E-2</v>
      </c>
      <c r="N17" s="319">
        <v>-0.13633857926753298</v>
      </c>
      <c r="O17" s="318">
        <v>-6.1780479880536733E-2</v>
      </c>
      <c r="P17" s="321">
        <v>0</v>
      </c>
      <c r="Q17" s="319">
        <v>0</v>
      </c>
      <c r="R17" s="322">
        <v>0</v>
      </c>
      <c r="S17" s="15"/>
      <c r="T17" s="15"/>
      <c r="U17" s="15"/>
      <c r="V17" s="15"/>
    </row>
    <row r="18" spans="1:22">
      <c r="A18" s="253"/>
      <c r="B18" s="234" t="s">
        <v>103</v>
      </c>
      <c r="C18" s="249">
        <v>2.2145335864474673E-3</v>
      </c>
      <c r="D18" s="250">
        <v>0</v>
      </c>
      <c r="E18" s="250">
        <v>3.1175640795077595E-3</v>
      </c>
      <c r="F18" s="250">
        <v>0</v>
      </c>
      <c r="G18" s="250">
        <v>0</v>
      </c>
      <c r="H18" s="250">
        <v>0</v>
      </c>
      <c r="I18" s="250">
        <v>0</v>
      </c>
      <c r="J18" s="251">
        <v>1.9329924020864656E-3</v>
      </c>
      <c r="K18" s="249">
        <v>0</v>
      </c>
      <c r="L18" s="250">
        <v>2.9984680700989572E-2</v>
      </c>
      <c r="M18" s="250">
        <v>1.0527128782927383E-2</v>
      </c>
      <c r="N18" s="250">
        <v>2.4354420002732614E-3</v>
      </c>
      <c r="O18" s="249">
        <v>1.6371270592140753E-2</v>
      </c>
      <c r="P18" s="249">
        <v>0</v>
      </c>
      <c r="Q18" s="250">
        <v>0</v>
      </c>
      <c r="R18" s="252">
        <v>0</v>
      </c>
      <c r="S18" s="15"/>
      <c r="T18" s="15"/>
      <c r="U18" s="15"/>
      <c r="V18" s="15"/>
    </row>
    <row r="19" spans="1:22">
      <c r="A19" s="253"/>
      <c r="B19" s="254" t="s">
        <v>104</v>
      </c>
      <c r="C19" s="255">
        <v>3.0724354511589141E-3</v>
      </c>
      <c r="D19" s="256">
        <v>0</v>
      </c>
      <c r="E19" s="256">
        <v>1.4255731992238546E-4</v>
      </c>
      <c r="F19" s="256">
        <v>0</v>
      </c>
      <c r="G19" s="256">
        <v>0</v>
      </c>
      <c r="H19" s="256">
        <v>0</v>
      </c>
      <c r="I19" s="256">
        <v>0</v>
      </c>
      <c r="J19" s="257">
        <v>1.4793147637379767E-3</v>
      </c>
      <c r="K19" s="255">
        <v>0</v>
      </c>
      <c r="L19" s="256">
        <v>2.8039844058083872E-2</v>
      </c>
      <c r="M19" s="256">
        <v>9.1946169286311E-3</v>
      </c>
      <c r="N19" s="256">
        <v>5.1912278843097785E-4</v>
      </c>
      <c r="O19" s="255">
        <v>1.4852510760273326E-2</v>
      </c>
      <c r="P19" s="255">
        <v>0</v>
      </c>
      <c r="Q19" s="256">
        <v>0</v>
      </c>
      <c r="R19" s="258">
        <v>0</v>
      </c>
      <c r="S19" s="15"/>
      <c r="T19" s="15"/>
      <c r="U19" s="15"/>
      <c r="V19" s="15"/>
    </row>
    <row r="20" spans="1:22">
      <c r="A20" s="253"/>
      <c r="B20" s="317" t="s">
        <v>105</v>
      </c>
      <c r="C20" s="318">
        <v>8.5790186471144683E-2</v>
      </c>
      <c r="D20" s="319">
        <v>0</v>
      </c>
      <c r="E20" s="319">
        <v>-0.29750067595853741</v>
      </c>
      <c r="F20" s="319">
        <v>0</v>
      </c>
      <c r="G20" s="319">
        <v>0</v>
      </c>
      <c r="H20" s="319">
        <v>0</v>
      </c>
      <c r="I20" s="319">
        <v>0</v>
      </c>
      <c r="J20" s="320">
        <v>-4.5367763834848883E-2</v>
      </c>
      <c r="K20" s="318">
        <v>0</v>
      </c>
      <c r="L20" s="319">
        <v>-0.19448366429056993</v>
      </c>
      <c r="M20" s="319">
        <v>-0.13325118542962827</v>
      </c>
      <c r="N20" s="319">
        <v>-0.19163192118422834</v>
      </c>
      <c r="O20" s="318">
        <v>-0.15187598318674272</v>
      </c>
      <c r="P20" s="321">
        <v>0</v>
      </c>
      <c r="Q20" s="319">
        <v>0</v>
      </c>
      <c r="R20" s="322">
        <v>0</v>
      </c>
      <c r="S20" s="15"/>
      <c r="T20" s="15"/>
      <c r="U20" s="15"/>
      <c r="V20" s="15"/>
    </row>
    <row r="21" spans="1:22">
      <c r="A21" s="253"/>
      <c r="B21" s="234" t="s">
        <v>106</v>
      </c>
      <c r="C21" s="249">
        <v>0</v>
      </c>
      <c r="D21" s="250">
        <v>0</v>
      </c>
      <c r="E21" s="250">
        <v>6.2372072280915496E-6</v>
      </c>
      <c r="F21" s="250">
        <v>0</v>
      </c>
      <c r="G21" s="250">
        <v>0</v>
      </c>
      <c r="H21" s="250">
        <v>0</v>
      </c>
      <c r="I21" s="250">
        <v>0</v>
      </c>
      <c r="J21" s="251">
        <v>1.8034449405253916E-6</v>
      </c>
      <c r="K21" s="249">
        <v>0</v>
      </c>
      <c r="L21" s="250">
        <v>0</v>
      </c>
      <c r="M21" s="250">
        <v>0</v>
      </c>
      <c r="N21" s="250">
        <v>0</v>
      </c>
      <c r="O21" s="249">
        <v>0</v>
      </c>
      <c r="P21" s="249">
        <v>0</v>
      </c>
      <c r="Q21" s="250">
        <v>0</v>
      </c>
      <c r="R21" s="252">
        <v>0</v>
      </c>
      <c r="S21" s="15"/>
      <c r="T21" s="15"/>
      <c r="U21" s="15"/>
      <c r="V21" s="15"/>
    </row>
    <row r="22" spans="1:22">
      <c r="A22" s="253"/>
      <c r="B22" s="254" t="s">
        <v>107</v>
      </c>
      <c r="C22" s="255">
        <v>0</v>
      </c>
      <c r="D22" s="256">
        <v>0</v>
      </c>
      <c r="E22" s="256">
        <v>0</v>
      </c>
      <c r="F22" s="256">
        <v>0</v>
      </c>
      <c r="G22" s="256">
        <v>0</v>
      </c>
      <c r="H22" s="256">
        <v>0</v>
      </c>
      <c r="I22" s="256">
        <v>0</v>
      </c>
      <c r="J22" s="257">
        <v>0</v>
      </c>
      <c r="K22" s="255">
        <v>0</v>
      </c>
      <c r="L22" s="256">
        <v>0</v>
      </c>
      <c r="M22" s="256">
        <v>6.0851204028001985E-6</v>
      </c>
      <c r="N22" s="256">
        <v>0</v>
      </c>
      <c r="O22" s="255">
        <v>3.1322138800925881E-6</v>
      </c>
      <c r="P22" s="255">
        <v>0</v>
      </c>
      <c r="Q22" s="256">
        <v>0</v>
      </c>
      <c r="R22" s="258">
        <v>0</v>
      </c>
      <c r="S22" s="15"/>
      <c r="T22" s="15"/>
      <c r="U22" s="15"/>
      <c r="V22" s="15"/>
    </row>
    <row r="23" spans="1:22">
      <c r="A23" s="253"/>
      <c r="B23" s="317" t="s">
        <v>108</v>
      </c>
      <c r="C23" s="318">
        <v>0</v>
      </c>
      <c r="D23" s="319">
        <v>0</v>
      </c>
      <c r="E23" s="319">
        <v>-6.23720722809155E-4</v>
      </c>
      <c r="F23" s="319">
        <v>0</v>
      </c>
      <c r="G23" s="319">
        <v>0</v>
      </c>
      <c r="H23" s="319">
        <v>0</v>
      </c>
      <c r="I23" s="319">
        <v>0</v>
      </c>
      <c r="J23" s="320">
        <v>-1.8034449405253915E-4</v>
      </c>
      <c r="K23" s="318">
        <v>0</v>
      </c>
      <c r="L23" s="319">
        <v>0</v>
      </c>
      <c r="M23" s="319">
        <v>0</v>
      </c>
      <c r="N23" s="319">
        <v>0</v>
      </c>
      <c r="O23" s="318">
        <v>0</v>
      </c>
      <c r="P23" s="321">
        <v>0</v>
      </c>
      <c r="Q23" s="319">
        <v>0</v>
      </c>
      <c r="R23" s="322">
        <v>0</v>
      </c>
      <c r="S23" s="15"/>
      <c r="T23" s="15"/>
      <c r="U23" s="15"/>
      <c r="V23" s="15"/>
    </row>
    <row r="24" spans="1:22">
      <c r="A24" s="253"/>
      <c r="B24" s="234" t="s">
        <v>109</v>
      </c>
      <c r="C24" s="249">
        <v>0.85943599393432246</v>
      </c>
      <c r="D24" s="250">
        <v>0.8369169096209913</v>
      </c>
      <c r="E24" s="250">
        <v>0.68857535154585481</v>
      </c>
      <c r="F24" s="250">
        <v>0.65979360459199254</v>
      </c>
      <c r="G24" s="250">
        <v>0.24743069349684774</v>
      </c>
      <c r="H24" s="250">
        <v>0</v>
      </c>
      <c r="I24" s="250">
        <v>0</v>
      </c>
      <c r="J24" s="251">
        <v>0.72373852137428618</v>
      </c>
      <c r="K24" s="249">
        <v>0</v>
      </c>
      <c r="L24" s="250">
        <v>0</v>
      </c>
      <c r="M24" s="250">
        <v>0</v>
      </c>
      <c r="N24" s="250">
        <v>0</v>
      </c>
      <c r="O24" s="249">
        <v>0</v>
      </c>
      <c r="P24" s="249">
        <v>0</v>
      </c>
      <c r="Q24" s="250">
        <v>0</v>
      </c>
      <c r="R24" s="252">
        <v>0</v>
      </c>
      <c r="S24" s="15"/>
      <c r="T24" s="15"/>
      <c r="U24" s="15"/>
      <c r="V24" s="15"/>
    </row>
    <row r="25" spans="1:22">
      <c r="A25" s="253"/>
      <c r="B25" s="254" t="s">
        <v>110</v>
      </c>
      <c r="C25" s="255">
        <v>0.83853097389266151</v>
      </c>
      <c r="D25" s="256">
        <v>0.8313772868484639</v>
      </c>
      <c r="E25" s="256">
        <v>0.62855083175924154</v>
      </c>
      <c r="F25" s="256">
        <v>0.58597205023881127</v>
      </c>
      <c r="G25" s="256">
        <v>0.2587801321094621</v>
      </c>
      <c r="H25" s="256">
        <v>0</v>
      </c>
      <c r="I25" s="256">
        <v>0</v>
      </c>
      <c r="J25" s="257">
        <v>0.69512512214454369</v>
      </c>
      <c r="K25" s="255">
        <v>0</v>
      </c>
      <c r="L25" s="256">
        <v>0</v>
      </c>
      <c r="M25" s="256">
        <v>0</v>
      </c>
      <c r="N25" s="256">
        <v>0</v>
      </c>
      <c r="O25" s="255">
        <v>0</v>
      </c>
      <c r="P25" s="255">
        <v>0</v>
      </c>
      <c r="Q25" s="256">
        <v>0</v>
      </c>
      <c r="R25" s="258">
        <v>0</v>
      </c>
      <c r="S25" s="15"/>
      <c r="T25" s="15"/>
      <c r="U25" s="15"/>
      <c r="V25" s="15"/>
    </row>
    <row r="26" spans="1:22">
      <c r="A26" s="253"/>
      <c r="B26" s="317" t="s">
        <v>111</v>
      </c>
      <c r="C26" s="318">
        <v>-2.0905020041660949</v>
      </c>
      <c r="D26" s="319">
        <v>-0.55396227725273972</v>
      </c>
      <c r="E26" s="331">
        <v>-6.0024519786613268</v>
      </c>
      <c r="F26" s="331">
        <v>-7.3821554353181273</v>
      </c>
      <c r="G26" s="319">
        <v>1.1349438612614366</v>
      </c>
      <c r="H26" s="319">
        <v>0</v>
      </c>
      <c r="I26" s="319">
        <v>0</v>
      </c>
      <c r="J26" s="320">
        <v>-2.8613399229742487</v>
      </c>
      <c r="K26" s="318">
        <v>0</v>
      </c>
      <c r="L26" s="319">
        <v>0</v>
      </c>
      <c r="M26" s="319">
        <v>0</v>
      </c>
      <c r="N26" s="319">
        <v>0</v>
      </c>
      <c r="O26" s="318">
        <v>0</v>
      </c>
      <c r="P26" s="321">
        <v>0</v>
      </c>
      <c r="Q26" s="319">
        <v>0</v>
      </c>
      <c r="R26" s="322">
        <v>0</v>
      </c>
      <c r="S26" s="15"/>
      <c r="T26" s="15"/>
      <c r="U26" s="15"/>
      <c r="V26" s="15"/>
    </row>
    <row r="27" spans="1:22">
      <c r="A27" s="253"/>
      <c r="B27" s="234" t="s">
        <v>112</v>
      </c>
      <c r="C27" s="249">
        <v>3.1347829226541161E-2</v>
      </c>
      <c r="D27" s="250">
        <v>0</v>
      </c>
      <c r="E27" s="250">
        <v>1.0794943421239525E-2</v>
      </c>
      <c r="F27" s="250">
        <v>0.11722200736835678</v>
      </c>
      <c r="G27" s="250">
        <v>1.1192676396925469E-2</v>
      </c>
      <c r="H27" s="250">
        <v>0</v>
      </c>
      <c r="I27" s="250">
        <v>0</v>
      </c>
      <c r="J27" s="251">
        <v>3.1759304176134671E-2</v>
      </c>
      <c r="K27" s="249">
        <v>0</v>
      </c>
      <c r="L27" s="250">
        <v>0</v>
      </c>
      <c r="M27" s="250">
        <v>0</v>
      </c>
      <c r="N27" s="250">
        <v>0</v>
      </c>
      <c r="O27" s="249">
        <v>0</v>
      </c>
      <c r="P27" s="249">
        <v>0</v>
      </c>
      <c r="Q27" s="250">
        <v>0</v>
      </c>
      <c r="R27" s="252">
        <v>0</v>
      </c>
      <c r="S27" s="15"/>
      <c r="T27" s="15"/>
      <c r="U27" s="15"/>
      <c r="V27" s="15"/>
    </row>
    <row r="28" spans="1:22">
      <c r="A28" s="253"/>
      <c r="B28" s="254" t="s">
        <v>113</v>
      </c>
      <c r="C28" s="255">
        <v>3.3974449551578828E-2</v>
      </c>
      <c r="D28" s="256">
        <v>0</v>
      </c>
      <c r="E28" s="256">
        <v>8.4864080593501055E-3</v>
      </c>
      <c r="F28" s="256">
        <v>6.7840084910666898E-2</v>
      </c>
      <c r="G28" s="256">
        <v>9.5221755168568237E-3</v>
      </c>
      <c r="H28" s="256">
        <v>0</v>
      </c>
      <c r="I28" s="256">
        <v>0</v>
      </c>
      <c r="J28" s="257">
        <v>2.6689369126053169E-2</v>
      </c>
      <c r="K28" s="255">
        <v>0</v>
      </c>
      <c r="L28" s="256">
        <v>0</v>
      </c>
      <c r="M28" s="256">
        <v>0</v>
      </c>
      <c r="N28" s="256">
        <v>0</v>
      </c>
      <c r="O28" s="255">
        <v>0</v>
      </c>
      <c r="P28" s="255">
        <v>0</v>
      </c>
      <c r="Q28" s="256">
        <v>0</v>
      </c>
      <c r="R28" s="258">
        <v>0</v>
      </c>
      <c r="S28" s="15"/>
      <c r="T28" s="15"/>
      <c r="U28" s="15"/>
      <c r="V28" s="15"/>
    </row>
    <row r="29" spans="1:22">
      <c r="A29" s="253"/>
      <c r="B29" s="317" t="s">
        <v>114</v>
      </c>
      <c r="C29" s="318">
        <v>0.26266203250376663</v>
      </c>
      <c r="D29" s="319">
        <v>0</v>
      </c>
      <c r="E29" s="319">
        <v>-0.230853536188942</v>
      </c>
      <c r="F29" s="331">
        <v>-4.9381922457689882</v>
      </c>
      <c r="G29" s="319">
        <v>-0.16705008800686449</v>
      </c>
      <c r="H29" s="319">
        <v>0</v>
      </c>
      <c r="I29" s="319">
        <v>0</v>
      </c>
      <c r="J29" s="320">
        <v>-0.50699350500815021</v>
      </c>
      <c r="K29" s="318">
        <v>0</v>
      </c>
      <c r="L29" s="319">
        <v>0</v>
      </c>
      <c r="M29" s="319">
        <v>0</v>
      </c>
      <c r="N29" s="319">
        <v>0</v>
      </c>
      <c r="O29" s="318">
        <v>0</v>
      </c>
      <c r="P29" s="321">
        <v>0</v>
      </c>
      <c r="Q29" s="319">
        <v>0</v>
      </c>
      <c r="R29" s="322">
        <v>0</v>
      </c>
      <c r="S29" s="15"/>
      <c r="T29" s="15"/>
      <c r="U29" s="15"/>
      <c r="V29" s="15"/>
    </row>
    <row r="30" spans="1:22">
      <c r="A30" s="253"/>
      <c r="B30" s="234" t="s">
        <v>115</v>
      </c>
      <c r="C30" s="249">
        <v>6.4118629020953777E-2</v>
      </c>
      <c r="D30" s="250">
        <v>0.16103316326530612</v>
      </c>
      <c r="E30" s="250">
        <v>0.26964632356422519</v>
      </c>
      <c r="F30" s="250">
        <v>0.22212949581713448</v>
      </c>
      <c r="G30" s="250">
        <v>0.74137663010622679</v>
      </c>
      <c r="H30" s="250">
        <v>0</v>
      </c>
      <c r="I30" s="250">
        <v>0</v>
      </c>
      <c r="J30" s="251">
        <v>0.21476625730844845</v>
      </c>
      <c r="K30" s="249">
        <v>0</v>
      </c>
      <c r="L30" s="250">
        <v>0</v>
      </c>
      <c r="M30" s="250">
        <v>0</v>
      </c>
      <c r="N30" s="250">
        <v>0</v>
      </c>
      <c r="O30" s="249">
        <v>0</v>
      </c>
      <c r="P30" s="249">
        <v>0</v>
      </c>
      <c r="Q30" s="250">
        <v>0</v>
      </c>
      <c r="R30" s="252">
        <v>0</v>
      </c>
      <c r="S30" s="15"/>
      <c r="T30" s="15"/>
      <c r="U30" s="15"/>
      <c r="V30" s="15"/>
    </row>
    <row r="31" spans="1:22">
      <c r="A31" s="253"/>
      <c r="B31" s="254" t="s">
        <v>116</v>
      </c>
      <c r="C31" s="255">
        <v>8.7984473572657526E-2</v>
      </c>
      <c r="D31" s="256">
        <v>0.16862271315153607</v>
      </c>
      <c r="E31" s="256">
        <v>0.33432797685856896</v>
      </c>
      <c r="F31" s="256">
        <v>0.34618786485052183</v>
      </c>
      <c r="G31" s="256">
        <v>0.7316976923736811</v>
      </c>
      <c r="H31" s="256">
        <v>0</v>
      </c>
      <c r="I31" s="256">
        <v>0</v>
      </c>
      <c r="J31" s="257">
        <v>0.25167018247241524</v>
      </c>
      <c r="K31" s="255">
        <v>0</v>
      </c>
      <c r="L31" s="256">
        <v>0</v>
      </c>
      <c r="M31" s="256">
        <v>0</v>
      </c>
      <c r="N31" s="256">
        <v>0</v>
      </c>
      <c r="O31" s="255">
        <v>0</v>
      </c>
      <c r="P31" s="255">
        <v>0</v>
      </c>
      <c r="Q31" s="256">
        <v>0</v>
      </c>
      <c r="R31" s="258">
        <v>0</v>
      </c>
      <c r="S31" s="15"/>
      <c r="T31" s="15"/>
      <c r="U31" s="15"/>
      <c r="V31" s="15"/>
    </row>
    <row r="32" spans="1:22">
      <c r="A32" s="253"/>
      <c r="B32" s="317" t="s">
        <v>117</v>
      </c>
      <c r="C32" s="318">
        <v>2.3865844551703748</v>
      </c>
      <c r="D32" s="319">
        <v>0.75895498862299515</v>
      </c>
      <c r="E32" s="331">
        <v>6.4681653294343775</v>
      </c>
      <c r="F32" s="331">
        <v>12.405836903338734</v>
      </c>
      <c r="G32" s="319">
        <v>-0.96789377325456893</v>
      </c>
      <c r="H32" s="319">
        <v>0</v>
      </c>
      <c r="I32" s="319">
        <v>0</v>
      </c>
      <c r="J32" s="320">
        <v>3.6903925163966789</v>
      </c>
      <c r="K32" s="318">
        <v>0</v>
      </c>
      <c r="L32" s="319">
        <v>0</v>
      </c>
      <c r="M32" s="319">
        <v>0</v>
      </c>
      <c r="N32" s="319">
        <v>0</v>
      </c>
      <c r="O32" s="318">
        <v>0</v>
      </c>
      <c r="P32" s="321">
        <v>0</v>
      </c>
      <c r="Q32" s="319">
        <v>0</v>
      </c>
      <c r="R32" s="322">
        <v>0</v>
      </c>
      <c r="S32" s="15"/>
      <c r="T32" s="15"/>
      <c r="U32" s="15"/>
      <c r="V32" s="15"/>
    </row>
    <row r="33" spans="1:22">
      <c r="A33" s="253"/>
      <c r="B33" s="234" t="s">
        <v>118</v>
      </c>
      <c r="C33" s="249">
        <v>2.4254214753868567E-3</v>
      </c>
      <c r="D33" s="250">
        <v>1.5032798833819242E-3</v>
      </c>
      <c r="E33" s="250">
        <v>3.9392074238909147E-3</v>
      </c>
      <c r="F33" s="250">
        <v>8.5489222251623276E-4</v>
      </c>
      <c r="G33" s="250">
        <v>0</v>
      </c>
      <c r="H33" s="250">
        <v>0</v>
      </c>
      <c r="I33" s="250">
        <v>0</v>
      </c>
      <c r="J33" s="251">
        <v>2.259555237827763E-3</v>
      </c>
      <c r="K33" s="249">
        <v>0</v>
      </c>
      <c r="L33" s="250">
        <v>0</v>
      </c>
      <c r="M33" s="250">
        <v>0</v>
      </c>
      <c r="N33" s="250">
        <v>0</v>
      </c>
      <c r="O33" s="249">
        <v>0</v>
      </c>
      <c r="P33" s="249">
        <v>0</v>
      </c>
      <c r="Q33" s="250">
        <v>0</v>
      </c>
      <c r="R33" s="252">
        <v>0</v>
      </c>
      <c r="S33" s="15"/>
      <c r="T33" s="15"/>
      <c r="U33" s="15"/>
      <c r="V33" s="15"/>
    </row>
    <row r="34" spans="1:22">
      <c r="A34" s="253"/>
      <c r="B34" s="254" t="s">
        <v>119</v>
      </c>
      <c r="C34" s="255">
        <v>2.007297753322639E-3</v>
      </c>
      <c r="D34" s="256">
        <v>0</v>
      </c>
      <c r="E34" s="256">
        <v>4.9275917763968351E-4</v>
      </c>
      <c r="F34" s="256">
        <v>0</v>
      </c>
      <c r="G34" s="256">
        <v>0</v>
      </c>
      <c r="H34" s="256">
        <v>0</v>
      </c>
      <c r="I34" s="256">
        <v>0</v>
      </c>
      <c r="J34" s="257">
        <v>1.126036393831753E-3</v>
      </c>
      <c r="K34" s="255">
        <v>0</v>
      </c>
      <c r="L34" s="256">
        <v>0</v>
      </c>
      <c r="M34" s="256">
        <v>0</v>
      </c>
      <c r="N34" s="256">
        <v>0</v>
      </c>
      <c r="O34" s="255">
        <v>0</v>
      </c>
      <c r="P34" s="255">
        <v>0</v>
      </c>
      <c r="Q34" s="256">
        <v>0</v>
      </c>
      <c r="R34" s="258">
        <v>0</v>
      </c>
      <c r="S34" s="15"/>
      <c r="T34" s="15"/>
      <c r="U34" s="15"/>
      <c r="V34" s="15"/>
    </row>
    <row r="35" spans="1:22">
      <c r="A35" s="253"/>
      <c r="B35" s="317" t="s">
        <v>120</v>
      </c>
      <c r="C35" s="318">
        <v>-4.1812372206421769E-2</v>
      </c>
      <c r="D35" s="319">
        <v>-0.15032798833819241</v>
      </c>
      <c r="E35" s="319">
        <v>-0.34464482462512314</v>
      </c>
      <c r="F35" s="319">
        <v>-8.5489222251623281E-2</v>
      </c>
      <c r="G35" s="319">
        <v>0</v>
      </c>
      <c r="H35" s="319">
        <v>0</v>
      </c>
      <c r="I35" s="319">
        <v>0</v>
      </c>
      <c r="J35" s="320">
        <v>-0.11335188439960101</v>
      </c>
      <c r="K35" s="318">
        <v>0</v>
      </c>
      <c r="L35" s="319">
        <v>0</v>
      </c>
      <c r="M35" s="319">
        <v>0</v>
      </c>
      <c r="N35" s="319">
        <v>0</v>
      </c>
      <c r="O35" s="318">
        <v>0</v>
      </c>
      <c r="P35" s="321">
        <v>0</v>
      </c>
      <c r="Q35" s="319">
        <v>0</v>
      </c>
      <c r="R35" s="322">
        <v>0</v>
      </c>
      <c r="S35" s="15"/>
      <c r="T35" s="15"/>
      <c r="U35" s="15"/>
      <c r="V35" s="15"/>
    </row>
    <row r="36" spans="1:22">
      <c r="A36" s="253"/>
      <c r="B36" s="234" t="s">
        <v>121</v>
      </c>
      <c r="C36" s="249">
        <v>4.2672126342795734E-2</v>
      </c>
      <c r="D36" s="250">
        <v>5.4664723032069973E-4</v>
      </c>
      <c r="E36" s="250">
        <v>2.7044174044789544E-2</v>
      </c>
      <c r="F36" s="250">
        <v>0</v>
      </c>
      <c r="G36" s="250">
        <v>0</v>
      </c>
      <c r="H36" s="250">
        <v>0</v>
      </c>
      <c r="I36" s="250">
        <v>0</v>
      </c>
      <c r="J36" s="251">
        <v>2.7476361903302951E-2</v>
      </c>
      <c r="K36" s="249">
        <v>0</v>
      </c>
      <c r="L36" s="250">
        <v>0</v>
      </c>
      <c r="M36" s="250">
        <v>0</v>
      </c>
      <c r="N36" s="250">
        <v>0</v>
      </c>
      <c r="O36" s="249">
        <v>0</v>
      </c>
      <c r="P36" s="249">
        <v>0</v>
      </c>
      <c r="Q36" s="250">
        <v>0</v>
      </c>
      <c r="R36" s="252">
        <v>0</v>
      </c>
      <c r="S36" s="15"/>
      <c r="T36" s="15"/>
      <c r="U36" s="15"/>
      <c r="V36" s="15"/>
    </row>
    <row r="37" spans="1:22">
      <c r="A37" s="253"/>
      <c r="B37" s="254" t="s">
        <v>122</v>
      </c>
      <c r="C37" s="255">
        <v>3.7502805229779487E-2</v>
      </c>
      <c r="D37" s="256">
        <v>0</v>
      </c>
      <c r="E37" s="256">
        <v>2.8142024145199705E-2</v>
      </c>
      <c r="F37" s="256">
        <v>0</v>
      </c>
      <c r="G37" s="256">
        <v>0</v>
      </c>
      <c r="H37" s="256">
        <v>0</v>
      </c>
      <c r="I37" s="256">
        <v>0</v>
      </c>
      <c r="J37" s="257">
        <v>2.5389289863156174E-2</v>
      </c>
      <c r="K37" s="255">
        <v>0</v>
      </c>
      <c r="L37" s="256">
        <v>0</v>
      </c>
      <c r="M37" s="256">
        <v>0</v>
      </c>
      <c r="N37" s="256">
        <v>0</v>
      </c>
      <c r="O37" s="255">
        <v>0</v>
      </c>
      <c r="P37" s="255">
        <v>0</v>
      </c>
      <c r="Q37" s="256">
        <v>0</v>
      </c>
      <c r="R37" s="258">
        <v>0</v>
      </c>
      <c r="S37" s="15"/>
      <c r="T37" s="15"/>
      <c r="U37" s="15"/>
      <c r="V37" s="15"/>
    </row>
    <row r="38" spans="1:22">
      <c r="A38" s="253"/>
      <c r="B38" s="317" t="s">
        <v>123</v>
      </c>
      <c r="C38" s="318">
        <v>-0.51693211130162464</v>
      </c>
      <c r="D38" s="319">
        <v>-5.466472303206997E-2</v>
      </c>
      <c r="E38" s="319">
        <v>0.10978501004101603</v>
      </c>
      <c r="F38" s="319">
        <v>0</v>
      </c>
      <c r="G38" s="319">
        <v>0</v>
      </c>
      <c r="H38" s="319">
        <v>0</v>
      </c>
      <c r="I38" s="319">
        <v>0</v>
      </c>
      <c r="J38" s="320">
        <v>-0.20870720401467771</v>
      </c>
      <c r="K38" s="318">
        <v>0</v>
      </c>
      <c r="L38" s="319">
        <v>0</v>
      </c>
      <c r="M38" s="319">
        <v>0</v>
      </c>
      <c r="N38" s="319">
        <v>0</v>
      </c>
      <c r="O38" s="318">
        <v>0</v>
      </c>
      <c r="P38" s="321">
        <v>0</v>
      </c>
      <c r="Q38" s="319">
        <v>0</v>
      </c>
      <c r="R38" s="322">
        <v>0</v>
      </c>
      <c r="S38" s="15"/>
      <c r="T38" s="15"/>
      <c r="U38" s="15"/>
      <c r="V38" s="15"/>
    </row>
    <row r="39" spans="1:22">
      <c r="A39" s="253"/>
      <c r="B39" s="234" t="s">
        <v>124</v>
      </c>
      <c r="C39" s="249">
        <v>0</v>
      </c>
      <c r="D39" s="250">
        <v>0</v>
      </c>
      <c r="E39" s="250">
        <v>0</v>
      </c>
      <c r="F39" s="250">
        <v>0</v>
      </c>
      <c r="G39" s="250">
        <v>0</v>
      </c>
      <c r="H39" s="250">
        <v>0</v>
      </c>
      <c r="I39" s="250">
        <v>0</v>
      </c>
      <c r="J39" s="251">
        <v>0</v>
      </c>
      <c r="K39" s="249">
        <v>0</v>
      </c>
      <c r="L39" s="250">
        <v>0</v>
      </c>
      <c r="M39" s="250">
        <v>0</v>
      </c>
      <c r="N39" s="250">
        <v>0</v>
      </c>
      <c r="O39" s="249">
        <v>0</v>
      </c>
      <c r="P39" s="249">
        <v>0</v>
      </c>
      <c r="Q39" s="250">
        <v>0</v>
      </c>
      <c r="R39" s="252">
        <v>0</v>
      </c>
      <c r="S39" s="15"/>
      <c r="T39" s="15"/>
      <c r="U39" s="15"/>
      <c r="V39" s="15"/>
    </row>
    <row r="40" spans="1:22">
      <c r="A40" s="253"/>
      <c r="B40" s="254" t="s">
        <v>125</v>
      </c>
      <c r="C40" s="255">
        <v>0</v>
      </c>
      <c r="D40" s="256">
        <v>0</v>
      </c>
      <c r="E40" s="256">
        <v>0</v>
      </c>
      <c r="F40" s="256">
        <v>0</v>
      </c>
      <c r="G40" s="256">
        <v>0</v>
      </c>
      <c r="H40" s="256">
        <v>0</v>
      </c>
      <c r="I40" s="256">
        <v>0</v>
      </c>
      <c r="J40" s="257">
        <v>0</v>
      </c>
      <c r="K40" s="255">
        <v>0</v>
      </c>
      <c r="L40" s="256">
        <v>0</v>
      </c>
      <c r="M40" s="256">
        <v>0</v>
      </c>
      <c r="N40" s="256">
        <v>0</v>
      </c>
      <c r="O40" s="255">
        <v>0</v>
      </c>
      <c r="P40" s="255">
        <v>0</v>
      </c>
      <c r="Q40" s="256">
        <v>0</v>
      </c>
      <c r="R40" s="258">
        <v>0</v>
      </c>
      <c r="S40" s="15"/>
      <c r="T40" s="15"/>
      <c r="U40" s="15"/>
      <c r="V40" s="15"/>
    </row>
    <row r="41" spans="1:22">
      <c r="A41" s="260"/>
      <c r="B41" s="317" t="s">
        <v>126</v>
      </c>
      <c r="C41" s="318">
        <v>0</v>
      </c>
      <c r="D41" s="319">
        <v>0</v>
      </c>
      <c r="E41" s="319">
        <v>0</v>
      </c>
      <c r="F41" s="319">
        <v>0</v>
      </c>
      <c r="G41" s="319">
        <v>0</v>
      </c>
      <c r="H41" s="319">
        <v>0</v>
      </c>
      <c r="I41" s="319">
        <v>0</v>
      </c>
      <c r="J41" s="320">
        <v>0</v>
      </c>
      <c r="K41" s="318">
        <v>0</v>
      </c>
      <c r="L41" s="319">
        <v>0</v>
      </c>
      <c r="M41" s="319">
        <v>0</v>
      </c>
      <c r="N41" s="319">
        <v>0</v>
      </c>
      <c r="O41" s="318">
        <v>0</v>
      </c>
      <c r="P41" s="321">
        <v>0</v>
      </c>
      <c r="Q41" s="319">
        <v>0</v>
      </c>
      <c r="R41" s="322">
        <v>0</v>
      </c>
      <c r="S41" s="15"/>
      <c r="T41" s="15"/>
      <c r="U41" s="15"/>
      <c r="V41" s="15"/>
    </row>
    <row r="42" spans="1:22">
      <c r="A42" s="248" t="s">
        <v>40</v>
      </c>
      <c r="B42" s="234" t="s">
        <v>91</v>
      </c>
      <c r="C42" s="249">
        <v>0.94385322186375609</v>
      </c>
      <c r="D42" s="250">
        <v>0</v>
      </c>
      <c r="E42" s="250">
        <v>0.7828768407614517</v>
      </c>
      <c r="F42" s="250">
        <v>0.83519070748635948</v>
      </c>
      <c r="G42" s="250">
        <v>0.84390893507303044</v>
      </c>
      <c r="H42" s="250">
        <v>0.88048728150250988</v>
      </c>
      <c r="I42" s="250">
        <v>0</v>
      </c>
      <c r="J42" s="251">
        <v>0.84734226328315809</v>
      </c>
      <c r="K42" s="249">
        <v>0</v>
      </c>
      <c r="L42" s="250">
        <v>0.68177514424125618</v>
      </c>
      <c r="M42" s="250">
        <v>0.77697144869882317</v>
      </c>
      <c r="N42" s="250">
        <v>0.71174776617504576</v>
      </c>
      <c r="O42" s="249">
        <v>0.71181260848008543</v>
      </c>
      <c r="P42" s="249">
        <v>0</v>
      </c>
      <c r="Q42" s="250">
        <v>0</v>
      </c>
      <c r="R42" s="252">
        <v>0</v>
      </c>
      <c r="S42" s="15"/>
      <c r="T42" s="15"/>
      <c r="U42" s="15"/>
      <c r="V42" s="15"/>
    </row>
    <row r="43" spans="1:22">
      <c r="A43" s="253"/>
      <c r="B43" s="254" t="s">
        <v>92</v>
      </c>
      <c r="C43" s="255">
        <v>0.93718874371782857</v>
      </c>
      <c r="D43" s="256">
        <v>0</v>
      </c>
      <c r="E43" s="256">
        <v>0.77584128418761256</v>
      </c>
      <c r="F43" s="256">
        <v>0.81610641560215214</v>
      </c>
      <c r="G43" s="256">
        <v>0.82146329268631424</v>
      </c>
      <c r="H43" s="256">
        <v>0.87279587553934024</v>
      </c>
      <c r="I43" s="256">
        <v>0</v>
      </c>
      <c r="J43" s="257">
        <v>0.83952918444039171</v>
      </c>
      <c r="K43" s="255">
        <v>0</v>
      </c>
      <c r="L43" s="256">
        <v>0.67070803040317251</v>
      </c>
      <c r="M43" s="256">
        <v>0.77386413705517976</v>
      </c>
      <c r="N43" s="256">
        <v>0.69008452964583289</v>
      </c>
      <c r="O43" s="255">
        <v>0.69577522520164758</v>
      </c>
      <c r="P43" s="255">
        <v>0</v>
      </c>
      <c r="Q43" s="256">
        <v>0</v>
      </c>
      <c r="R43" s="258">
        <v>0</v>
      </c>
      <c r="S43" s="15"/>
      <c r="T43" s="15"/>
      <c r="U43" s="15"/>
      <c r="V43" s="15"/>
    </row>
    <row r="44" spans="1:22">
      <c r="A44" s="253"/>
      <c r="B44" s="317" t="s">
        <v>93</v>
      </c>
      <c r="C44" s="318">
        <v>-0.66644781459275215</v>
      </c>
      <c r="D44" s="319">
        <v>0</v>
      </c>
      <c r="E44" s="319">
        <v>-0.70355565738391412</v>
      </c>
      <c r="F44" s="319">
        <v>-1.9084291884207349</v>
      </c>
      <c r="G44" s="319">
        <v>-2.2445642386716202</v>
      </c>
      <c r="H44" s="319">
        <v>-0.76914059631696396</v>
      </c>
      <c r="I44" s="319">
        <v>0</v>
      </c>
      <c r="J44" s="320">
        <v>-0.78130788427663855</v>
      </c>
      <c r="K44" s="318">
        <v>0</v>
      </c>
      <c r="L44" s="319">
        <v>-1.1067113838083675</v>
      </c>
      <c r="M44" s="319">
        <v>-0.31073116436434178</v>
      </c>
      <c r="N44" s="319">
        <v>-2.166323652921287</v>
      </c>
      <c r="O44" s="318">
        <v>-1.6037383278437845</v>
      </c>
      <c r="P44" s="321">
        <v>0</v>
      </c>
      <c r="Q44" s="319">
        <v>0</v>
      </c>
      <c r="R44" s="322">
        <v>0</v>
      </c>
      <c r="S44" s="15"/>
      <c r="T44" s="15"/>
      <c r="U44" s="15"/>
      <c r="V44" s="15"/>
    </row>
    <row r="45" spans="1:22">
      <c r="A45" s="253"/>
      <c r="B45" s="234" t="s">
        <v>94</v>
      </c>
      <c r="C45" s="249">
        <v>2.422498431270639E-2</v>
      </c>
      <c r="D45" s="250">
        <v>0</v>
      </c>
      <c r="E45" s="250">
        <v>6.4084056623401983E-2</v>
      </c>
      <c r="F45" s="250">
        <v>4.5821884807208987E-2</v>
      </c>
      <c r="G45" s="250">
        <v>1.5923611996543272E-2</v>
      </c>
      <c r="H45" s="250">
        <v>1.3648947659099943E-2</v>
      </c>
      <c r="I45" s="250">
        <v>0</v>
      </c>
      <c r="J45" s="251">
        <v>4.2175477231240023E-2</v>
      </c>
      <c r="K45" s="249">
        <v>0</v>
      </c>
      <c r="L45" s="250">
        <v>4.7401260358164166E-2</v>
      </c>
      <c r="M45" s="250">
        <v>5.9645905851151995E-2</v>
      </c>
      <c r="N45" s="250">
        <v>0.1119173215631392</v>
      </c>
      <c r="O45" s="249">
        <v>8.4573272871425839E-2</v>
      </c>
      <c r="P45" s="249">
        <v>0</v>
      </c>
      <c r="Q45" s="250">
        <v>0</v>
      </c>
      <c r="R45" s="252">
        <v>0</v>
      </c>
      <c r="S45" s="15"/>
      <c r="T45" s="15"/>
      <c r="U45" s="15"/>
      <c r="V45" s="15"/>
    </row>
    <row r="46" spans="1:22">
      <c r="A46" s="253"/>
      <c r="B46" s="254" t="s">
        <v>95</v>
      </c>
      <c r="C46" s="255">
        <v>1.9452626294702534E-2</v>
      </c>
      <c r="D46" s="256">
        <v>0</v>
      </c>
      <c r="E46" s="256">
        <v>6.0750679455926063E-2</v>
      </c>
      <c r="F46" s="256">
        <v>4.6236658654146792E-2</v>
      </c>
      <c r="G46" s="256">
        <v>1.4332935196244548E-2</v>
      </c>
      <c r="H46" s="256">
        <v>1.161162516434066E-2</v>
      </c>
      <c r="I46" s="256">
        <v>0</v>
      </c>
      <c r="J46" s="257">
        <v>3.9114631078517065E-2</v>
      </c>
      <c r="K46" s="255">
        <v>0</v>
      </c>
      <c r="L46" s="256">
        <v>5.0788995373430269E-2</v>
      </c>
      <c r="M46" s="256">
        <v>4.7186584765311144E-2</v>
      </c>
      <c r="N46" s="256">
        <v>0.12007689010046826</v>
      </c>
      <c r="O46" s="255">
        <v>8.7452477089109748E-2</v>
      </c>
      <c r="P46" s="255">
        <v>0</v>
      </c>
      <c r="Q46" s="256">
        <v>0</v>
      </c>
      <c r="R46" s="258">
        <v>0</v>
      </c>
      <c r="S46" s="15"/>
      <c r="T46" s="15"/>
      <c r="U46" s="15"/>
      <c r="V46" s="15"/>
    </row>
    <row r="47" spans="1:22">
      <c r="A47" s="253"/>
      <c r="B47" s="317" t="s">
        <v>96</v>
      </c>
      <c r="C47" s="318">
        <v>-0.47723580180038561</v>
      </c>
      <c r="D47" s="319">
        <v>0</v>
      </c>
      <c r="E47" s="319">
        <v>-0.33333771674759205</v>
      </c>
      <c r="F47" s="319">
        <v>4.1477384693780484E-2</v>
      </c>
      <c r="G47" s="319">
        <v>-0.1590676800298724</v>
      </c>
      <c r="H47" s="319">
        <v>-0.20373224947592833</v>
      </c>
      <c r="I47" s="319">
        <v>0</v>
      </c>
      <c r="J47" s="320">
        <v>-0.3060846152722958</v>
      </c>
      <c r="K47" s="318">
        <v>0</v>
      </c>
      <c r="L47" s="319">
        <v>0.33877350152661034</v>
      </c>
      <c r="M47" s="319">
        <v>-1.2459321085840851</v>
      </c>
      <c r="N47" s="319">
        <v>0.81595685373290627</v>
      </c>
      <c r="O47" s="318">
        <v>0.28792042176839089</v>
      </c>
      <c r="P47" s="321">
        <v>0</v>
      </c>
      <c r="Q47" s="319">
        <v>0</v>
      </c>
      <c r="R47" s="322">
        <v>0</v>
      </c>
      <c r="S47" s="15"/>
      <c r="T47" s="15"/>
      <c r="U47" s="15"/>
      <c r="V47" s="15"/>
    </row>
    <row r="48" spans="1:22">
      <c r="A48" s="253"/>
      <c r="B48" s="234" t="s">
        <v>97</v>
      </c>
      <c r="C48" s="249">
        <v>3.0265384639762694E-2</v>
      </c>
      <c r="D48" s="250">
        <v>0</v>
      </c>
      <c r="E48" s="250">
        <v>0.14097927353336295</v>
      </c>
      <c r="F48" s="250">
        <v>0.10828070266821195</v>
      </c>
      <c r="G48" s="250">
        <v>0.10569934973862043</v>
      </c>
      <c r="H48" s="250">
        <v>8.0556933348811519E-2</v>
      </c>
      <c r="I48" s="250">
        <v>0</v>
      </c>
      <c r="J48" s="251">
        <v>9.8470730185648253E-2</v>
      </c>
      <c r="K48" s="249">
        <v>0</v>
      </c>
      <c r="L48" s="250">
        <v>0.2252033280358979</v>
      </c>
      <c r="M48" s="250">
        <v>0.13664946958395491</v>
      </c>
      <c r="N48" s="250">
        <v>0.14415168478845947</v>
      </c>
      <c r="O48" s="249">
        <v>0.16806627066432483</v>
      </c>
      <c r="P48" s="249">
        <v>0</v>
      </c>
      <c r="Q48" s="250">
        <v>0</v>
      </c>
      <c r="R48" s="252">
        <v>0</v>
      </c>
      <c r="S48" s="15"/>
      <c r="T48" s="15"/>
      <c r="U48" s="15"/>
      <c r="V48" s="15"/>
    </row>
    <row r="49" spans="1:22">
      <c r="A49" s="253"/>
      <c r="B49" s="254" t="s">
        <v>98</v>
      </c>
      <c r="C49" s="255">
        <v>2.7941045041481823E-2</v>
      </c>
      <c r="D49" s="256">
        <v>0</v>
      </c>
      <c r="E49" s="256">
        <v>0.15728370387814986</v>
      </c>
      <c r="F49" s="256">
        <v>0.1374918394861315</v>
      </c>
      <c r="G49" s="256">
        <v>0.11770506374822921</v>
      </c>
      <c r="H49" s="256">
        <v>9.9648337709812698E-2</v>
      </c>
      <c r="I49" s="256">
        <v>0</v>
      </c>
      <c r="J49" s="257">
        <v>0.11127433974770193</v>
      </c>
      <c r="K49" s="255">
        <v>0</v>
      </c>
      <c r="L49" s="256">
        <v>0.27825512227362853</v>
      </c>
      <c r="M49" s="256">
        <v>0.17894927817950912</v>
      </c>
      <c r="N49" s="256">
        <v>0.1738601138786906</v>
      </c>
      <c r="O49" s="255">
        <v>0.20811957085069788</v>
      </c>
      <c r="P49" s="255">
        <v>0</v>
      </c>
      <c r="Q49" s="256">
        <v>0</v>
      </c>
      <c r="R49" s="258">
        <v>0</v>
      </c>
      <c r="S49" s="15"/>
      <c r="T49" s="15"/>
      <c r="U49" s="15"/>
      <c r="V49" s="15"/>
    </row>
    <row r="50" spans="1:22">
      <c r="A50" s="253"/>
      <c r="B50" s="317" t="s">
        <v>99</v>
      </c>
      <c r="C50" s="318">
        <v>-0.23243395982808709</v>
      </c>
      <c r="D50" s="319">
        <v>0</v>
      </c>
      <c r="E50" s="319">
        <v>1.6304430344786902</v>
      </c>
      <c r="F50" s="319">
        <v>2.921113681791955</v>
      </c>
      <c r="G50" s="319">
        <v>1.2005714009608788</v>
      </c>
      <c r="H50" s="319">
        <v>1.9091404361001181</v>
      </c>
      <c r="I50" s="319">
        <v>0</v>
      </c>
      <c r="J50" s="320">
        <v>1.2803609562053675</v>
      </c>
      <c r="K50" s="318">
        <v>0</v>
      </c>
      <c r="L50" s="319">
        <v>5.3051794237730627</v>
      </c>
      <c r="M50" s="319">
        <v>4.2299808595554209</v>
      </c>
      <c r="N50" s="319">
        <v>2.9708429090231139</v>
      </c>
      <c r="O50" s="318">
        <v>4.005330018637304</v>
      </c>
      <c r="P50" s="321">
        <v>0</v>
      </c>
      <c r="Q50" s="319">
        <v>0</v>
      </c>
      <c r="R50" s="322">
        <v>0</v>
      </c>
      <c r="S50" s="15"/>
      <c r="T50" s="15"/>
      <c r="U50" s="15"/>
      <c r="V50" s="15"/>
    </row>
    <row r="51" spans="1:22">
      <c r="A51" s="253"/>
      <c r="B51" s="234" t="s">
        <v>100</v>
      </c>
      <c r="C51" s="249">
        <v>1.2761111568877254E-3</v>
      </c>
      <c r="D51" s="250">
        <v>0</v>
      </c>
      <c r="E51" s="250">
        <v>1.1160800289744137E-2</v>
      </c>
      <c r="F51" s="250">
        <v>8.873204588959932E-3</v>
      </c>
      <c r="G51" s="250">
        <v>1.3132729822771898E-2</v>
      </c>
      <c r="H51" s="250">
        <v>2.5306837489578606E-2</v>
      </c>
      <c r="I51" s="250">
        <v>0</v>
      </c>
      <c r="J51" s="251">
        <v>1.0459353591654218E-2</v>
      </c>
      <c r="K51" s="249">
        <v>0</v>
      </c>
      <c r="L51" s="250">
        <v>4.3503690227070617E-2</v>
      </c>
      <c r="M51" s="250">
        <v>2.673317586606995E-2</v>
      </c>
      <c r="N51" s="250">
        <v>3.1709548928840564E-2</v>
      </c>
      <c r="O51" s="249">
        <v>3.4635303714683242E-2</v>
      </c>
      <c r="P51" s="249">
        <v>0</v>
      </c>
      <c r="Q51" s="250">
        <v>0</v>
      </c>
      <c r="R51" s="252">
        <v>0</v>
      </c>
      <c r="S51" s="15"/>
      <c r="T51" s="15"/>
      <c r="U51" s="15"/>
      <c r="V51" s="15"/>
    </row>
    <row r="52" spans="1:22">
      <c r="A52" s="253"/>
      <c r="B52" s="254" t="s">
        <v>101</v>
      </c>
      <c r="C52" s="255">
        <v>1.5440403275951572E-3</v>
      </c>
      <c r="D52" s="256">
        <v>0</v>
      </c>
      <c r="E52" s="256">
        <v>5.3185327570953022E-3</v>
      </c>
      <c r="F52" s="256">
        <v>1.6508625756958011E-4</v>
      </c>
      <c r="G52" s="256">
        <v>4.6415377350629151E-2</v>
      </c>
      <c r="H52" s="256">
        <v>1.5944161586506429E-2</v>
      </c>
      <c r="I52" s="256">
        <v>0</v>
      </c>
      <c r="J52" s="257">
        <v>6.2371966192291519E-3</v>
      </c>
      <c r="K52" s="255">
        <v>0</v>
      </c>
      <c r="L52" s="256">
        <v>2.4785194976867153E-4</v>
      </c>
      <c r="M52" s="256">
        <v>0</v>
      </c>
      <c r="N52" s="256">
        <v>1.5584122936223537E-2</v>
      </c>
      <c r="O52" s="255">
        <v>8.441145312289202E-3</v>
      </c>
      <c r="P52" s="255">
        <v>0</v>
      </c>
      <c r="Q52" s="256">
        <v>0</v>
      </c>
      <c r="R52" s="258">
        <v>0</v>
      </c>
      <c r="S52" s="15"/>
      <c r="T52" s="15"/>
      <c r="U52" s="15"/>
      <c r="V52" s="15"/>
    </row>
    <row r="53" spans="1:22">
      <c r="A53" s="253"/>
      <c r="B53" s="317" t="s">
        <v>102</v>
      </c>
      <c r="C53" s="318">
        <v>2.6792917070743178E-2</v>
      </c>
      <c r="D53" s="319">
        <v>0</v>
      </c>
      <c r="E53" s="319">
        <v>-0.58422675326488349</v>
      </c>
      <c r="F53" s="319">
        <v>-0.87081183313903521</v>
      </c>
      <c r="G53" s="319">
        <v>3.3282647527857256</v>
      </c>
      <c r="H53" s="319">
        <v>-0.93626759030721773</v>
      </c>
      <c r="I53" s="319">
        <v>0</v>
      </c>
      <c r="J53" s="320">
        <v>-0.42221569724250663</v>
      </c>
      <c r="K53" s="318">
        <v>0</v>
      </c>
      <c r="L53" s="319">
        <v>-4.3255838277301946</v>
      </c>
      <c r="M53" s="319">
        <v>-2.6733175866069949</v>
      </c>
      <c r="N53" s="319">
        <v>-1.6125425992617028</v>
      </c>
      <c r="O53" s="318">
        <v>-2.6194158402394039</v>
      </c>
      <c r="P53" s="321">
        <v>0</v>
      </c>
      <c r="Q53" s="319">
        <v>0</v>
      </c>
      <c r="R53" s="322">
        <v>0</v>
      </c>
      <c r="S53" s="15"/>
      <c r="T53" s="15"/>
      <c r="U53" s="15"/>
      <c r="V53" s="15"/>
    </row>
    <row r="54" spans="1:22">
      <c r="A54" s="253"/>
      <c r="B54" s="234" t="s">
        <v>103</v>
      </c>
      <c r="C54" s="249">
        <v>3.8029802688707047E-4</v>
      </c>
      <c r="D54" s="250">
        <v>0</v>
      </c>
      <c r="E54" s="250">
        <v>0</v>
      </c>
      <c r="F54" s="250">
        <v>1.8335004492596981E-3</v>
      </c>
      <c r="G54" s="250">
        <v>2.1335373369033957E-2</v>
      </c>
      <c r="H54" s="250">
        <v>0</v>
      </c>
      <c r="I54" s="250">
        <v>0</v>
      </c>
      <c r="J54" s="251">
        <v>1.2005501433125338E-3</v>
      </c>
      <c r="K54" s="249">
        <v>0</v>
      </c>
      <c r="L54" s="250">
        <v>2.1165771376110724E-3</v>
      </c>
      <c r="M54" s="250">
        <v>0</v>
      </c>
      <c r="N54" s="250">
        <v>4.7367854451501777E-4</v>
      </c>
      <c r="O54" s="249">
        <v>9.1254426948060346E-4</v>
      </c>
      <c r="P54" s="249">
        <v>0</v>
      </c>
      <c r="Q54" s="250">
        <v>0</v>
      </c>
      <c r="R54" s="252">
        <v>0</v>
      </c>
      <c r="S54" s="15"/>
      <c r="T54" s="15"/>
      <c r="U54" s="15"/>
      <c r="V54" s="15"/>
    </row>
    <row r="55" spans="1:22">
      <c r="A55" s="253"/>
      <c r="B55" s="254" t="s">
        <v>104</v>
      </c>
      <c r="C55" s="255">
        <v>9.127331985784181E-5</v>
      </c>
      <c r="D55" s="256">
        <v>0</v>
      </c>
      <c r="E55" s="256">
        <v>1.4130137291469089E-4</v>
      </c>
      <c r="F55" s="256">
        <v>0</v>
      </c>
      <c r="G55" s="256">
        <v>0</v>
      </c>
      <c r="H55" s="256">
        <v>0</v>
      </c>
      <c r="I55" s="256">
        <v>0</v>
      </c>
      <c r="J55" s="257">
        <v>7.703831759942788E-5</v>
      </c>
      <c r="K55" s="255">
        <v>0</v>
      </c>
      <c r="L55" s="256">
        <v>0</v>
      </c>
      <c r="M55" s="256">
        <v>0</v>
      </c>
      <c r="N55" s="256">
        <v>3.2426847231077009E-4</v>
      </c>
      <c r="O55" s="255">
        <v>1.7398343176421412E-4</v>
      </c>
      <c r="P55" s="255">
        <v>0</v>
      </c>
      <c r="Q55" s="256">
        <v>0</v>
      </c>
      <c r="R55" s="258">
        <v>0</v>
      </c>
      <c r="S55" s="15"/>
      <c r="T55" s="15"/>
      <c r="U55" s="15"/>
      <c r="V55" s="15"/>
    </row>
    <row r="56" spans="1:22">
      <c r="A56" s="253"/>
      <c r="B56" s="317" t="s">
        <v>105</v>
      </c>
      <c r="C56" s="318">
        <v>-2.8902470702922865E-2</v>
      </c>
      <c r="D56" s="319">
        <v>0</v>
      </c>
      <c r="E56" s="319">
        <v>0</v>
      </c>
      <c r="F56" s="319">
        <v>-0.18335004492596982</v>
      </c>
      <c r="G56" s="319">
        <v>-2.1335373369033959</v>
      </c>
      <c r="H56" s="319">
        <v>0</v>
      </c>
      <c r="I56" s="319">
        <v>0</v>
      </c>
      <c r="J56" s="320">
        <v>-0.11235118257131059</v>
      </c>
      <c r="K56" s="318">
        <v>0</v>
      </c>
      <c r="L56" s="319">
        <v>-0.21165771376110723</v>
      </c>
      <c r="M56" s="319">
        <v>0</v>
      </c>
      <c r="N56" s="319">
        <v>-1.4941007220424768E-2</v>
      </c>
      <c r="O56" s="318">
        <v>-7.3856083771638936E-2</v>
      </c>
      <c r="P56" s="321">
        <v>0</v>
      </c>
      <c r="Q56" s="319">
        <v>0</v>
      </c>
      <c r="R56" s="322">
        <v>0</v>
      </c>
      <c r="S56" s="15"/>
      <c r="T56" s="15"/>
      <c r="U56" s="15"/>
      <c r="V56" s="15"/>
    </row>
    <row r="57" spans="1:22">
      <c r="A57" s="253"/>
      <c r="B57" s="234" t="s">
        <v>106</v>
      </c>
      <c r="C57" s="249">
        <v>0</v>
      </c>
      <c r="D57" s="250">
        <v>0</v>
      </c>
      <c r="E57" s="250">
        <v>8.9902879203922843E-4</v>
      </c>
      <c r="F57" s="250">
        <v>0</v>
      </c>
      <c r="G57" s="250">
        <v>0</v>
      </c>
      <c r="H57" s="250">
        <v>0</v>
      </c>
      <c r="I57" s="250">
        <v>0</v>
      </c>
      <c r="J57" s="251">
        <v>3.5162556498693462E-4</v>
      </c>
      <c r="K57" s="249">
        <v>0</v>
      </c>
      <c r="L57" s="250">
        <v>0</v>
      </c>
      <c r="M57" s="250">
        <v>0</v>
      </c>
      <c r="N57" s="250">
        <v>0</v>
      </c>
      <c r="O57" s="249">
        <v>0</v>
      </c>
      <c r="P57" s="249">
        <v>0</v>
      </c>
      <c r="Q57" s="250">
        <v>0</v>
      </c>
      <c r="R57" s="252">
        <v>0</v>
      </c>
      <c r="S57" s="15"/>
      <c r="T57" s="15"/>
      <c r="U57" s="15"/>
      <c r="V57" s="15"/>
    </row>
    <row r="58" spans="1:22">
      <c r="A58" s="253"/>
      <c r="B58" s="254" t="s">
        <v>107</v>
      </c>
      <c r="C58" s="255">
        <v>1.3782271298534113E-2</v>
      </c>
      <c r="D58" s="256">
        <v>0</v>
      </c>
      <c r="E58" s="256">
        <v>6.6449834830151927E-4</v>
      </c>
      <c r="F58" s="256">
        <v>0</v>
      </c>
      <c r="G58" s="256">
        <v>8.3331018582817148E-5</v>
      </c>
      <c r="H58" s="256">
        <v>0</v>
      </c>
      <c r="I58" s="256">
        <v>0</v>
      </c>
      <c r="J58" s="257">
        <v>3.7676097965606992E-3</v>
      </c>
      <c r="K58" s="255">
        <v>0</v>
      </c>
      <c r="L58" s="256">
        <v>0</v>
      </c>
      <c r="M58" s="256">
        <v>0</v>
      </c>
      <c r="N58" s="256">
        <v>7.0074966473937603E-5</v>
      </c>
      <c r="O58" s="255">
        <v>3.7598114491419154E-5</v>
      </c>
      <c r="P58" s="255">
        <v>0</v>
      </c>
      <c r="Q58" s="256">
        <v>0</v>
      </c>
      <c r="R58" s="258">
        <v>0</v>
      </c>
      <c r="S58" s="15"/>
      <c r="T58" s="15"/>
      <c r="U58" s="15"/>
      <c r="V58" s="15"/>
    </row>
    <row r="59" spans="1:22">
      <c r="A59" s="253"/>
      <c r="B59" s="317" t="s">
        <v>108</v>
      </c>
      <c r="C59" s="318">
        <v>0</v>
      </c>
      <c r="D59" s="319">
        <v>0</v>
      </c>
      <c r="E59" s="319">
        <v>-2.3453044373770916E-2</v>
      </c>
      <c r="F59" s="319">
        <v>0</v>
      </c>
      <c r="G59" s="319">
        <v>0</v>
      </c>
      <c r="H59" s="319">
        <v>0</v>
      </c>
      <c r="I59" s="319">
        <v>0</v>
      </c>
      <c r="J59" s="320">
        <v>0.34159842315737643</v>
      </c>
      <c r="K59" s="318">
        <v>0</v>
      </c>
      <c r="L59" s="319">
        <v>0</v>
      </c>
      <c r="M59" s="319">
        <v>0</v>
      </c>
      <c r="N59" s="319">
        <v>0</v>
      </c>
      <c r="O59" s="318">
        <v>0</v>
      </c>
      <c r="P59" s="321">
        <v>0</v>
      </c>
      <c r="Q59" s="319">
        <v>0</v>
      </c>
      <c r="R59" s="322">
        <v>0</v>
      </c>
      <c r="S59" s="15"/>
      <c r="T59" s="15"/>
      <c r="U59" s="15"/>
      <c r="V59" s="15"/>
    </row>
    <row r="60" spans="1:22">
      <c r="A60" s="253"/>
      <c r="B60" s="234" t="s">
        <v>109</v>
      </c>
      <c r="C60" s="249">
        <v>0.75414108806096525</v>
      </c>
      <c r="D60" s="250">
        <v>0</v>
      </c>
      <c r="E60" s="250">
        <v>0.47743454033563726</v>
      </c>
      <c r="F60" s="250">
        <v>0.54610504053577724</v>
      </c>
      <c r="G60" s="250">
        <v>0.4978772674642995</v>
      </c>
      <c r="H60" s="250">
        <v>0.8044090056285178</v>
      </c>
      <c r="I60" s="250">
        <v>0</v>
      </c>
      <c r="J60" s="251">
        <v>0.56739715171788441</v>
      </c>
      <c r="K60" s="249">
        <v>0</v>
      </c>
      <c r="L60" s="250">
        <v>0</v>
      </c>
      <c r="M60" s="250">
        <v>0</v>
      </c>
      <c r="N60" s="250">
        <v>0</v>
      </c>
      <c r="O60" s="249">
        <v>0</v>
      </c>
      <c r="P60" s="249">
        <v>0</v>
      </c>
      <c r="Q60" s="250">
        <v>0</v>
      </c>
      <c r="R60" s="252">
        <v>0</v>
      </c>
      <c r="S60" s="15"/>
      <c r="T60" s="15"/>
      <c r="U60" s="15"/>
      <c r="V60" s="15"/>
    </row>
    <row r="61" spans="1:22">
      <c r="A61" s="253"/>
      <c r="B61" s="254" t="s">
        <v>110</v>
      </c>
      <c r="C61" s="255">
        <v>0.74132904914294595</v>
      </c>
      <c r="D61" s="256">
        <v>0</v>
      </c>
      <c r="E61" s="256">
        <v>0.44246009061971608</v>
      </c>
      <c r="F61" s="256">
        <v>0.50891247052295741</v>
      </c>
      <c r="G61" s="256">
        <v>0.49013949013949015</v>
      </c>
      <c r="H61" s="256">
        <v>0.86472148541114058</v>
      </c>
      <c r="I61" s="256">
        <v>0</v>
      </c>
      <c r="J61" s="257">
        <v>0.5361658676476978</v>
      </c>
      <c r="K61" s="255">
        <v>0</v>
      </c>
      <c r="L61" s="256">
        <v>0</v>
      </c>
      <c r="M61" s="256">
        <v>0</v>
      </c>
      <c r="N61" s="256">
        <v>0</v>
      </c>
      <c r="O61" s="255">
        <v>0</v>
      </c>
      <c r="P61" s="255">
        <v>0</v>
      </c>
      <c r="Q61" s="256">
        <v>0</v>
      </c>
      <c r="R61" s="258">
        <v>0</v>
      </c>
      <c r="S61" s="15"/>
      <c r="T61" s="15"/>
      <c r="U61" s="15"/>
      <c r="V61" s="15"/>
    </row>
    <row r="62" spans="1:22">
      <c r="A62" s="253"/>
      <c r="B62" s="317" t="s">
        <v>111</v>
      </c>
      <c r="C62" s="318">
        <v>-1.2812038918019297</v>
      </c>
      <c r="D62" s="319">
        <v>0</v>
      </c>
      <c r="E62" s="319">
        <v>-3.4974449715921176</v>
      </c>
      <c r="F62" s="319">
        <v>-3.7192570012819837</v>
      </c>
      <c r="G62" s="319">
        <v>-0.77377773248093473</v>
      </c>
      <c r="H62" s="331">
        <v>6.031247978262277</v>
      </c>
      <c r="I62" s="319">
        <v>0</v>
      </c>
      <c r="J62" s="320">
        <v>-3.1231284070186605</v>
      </c>
      <c r="K62" s="318">
        <v>0</v>
      </c>
      <c r="L62" s="319">
        <v>0</v>
      </c>
      <c r="M62" s="319">
        <v>0</v>
      </c>
      <c r="N62" s="319">
        <v>0</v>
      </c>
      <c r="O62" s="318">
        <v>0</v>
      </c>
      <c r="P62" s="321">
        <v>0</v>
      </c>
      <c r="Q62" s="319">
        <v>0</v>
      </c>
      <c r="R62" s="322">
        <v>0</v>
      </c>
      <c r="S62" s="15"/>
      <c r="T62" s="15"/>
      <c r="U62" s="15"/>
      <c r="V62" s="15"/>
    </row>
    <row r="63" spans="1:22">
      <c r="A63" s="253"/>
      <c r="B63" s="234" t="s">
        <v>112</v>
      </c>
      <c r="C63" s="249">
        <v>4.6517781541066894E-2</v>
      </c>
      <c r="D63" s="250">
        <v>0</v>
      </c>
      <c r="E63" s="250">
        <v>9.9930427771673047E-2</v>
      </c>
      <c r="F63" s="250">
        <v>8.6958054282692987E-2</v>
      </c>
      <c r="G63" s="250">
        <v>5.7892705519104592E-3</v>
      </c>
      <c r="H63" s="250">
        <v>0</v>
      </c>
      <c r="I63" s="250">
        <v>0</v>
      </c>
      <c r="J63" s="251">
        <v>8.1406158324253075E-2</v>
      </c>
      <c r="K63" s="249">
        <v>0</v>
      </c>
      <c r="L63" s="250">
        <v>0</v>
      </c>
      <c r="M63" s="250">
        <v>0</v>
      </c>
      <c r="N63" s="250">
        <v>0</v>
      </c>
      <c r="O63" s="249">
        <v>0</v>
      </c>
      <c r="P63" s="249">
        <v>0</v>
      </c>
      <c r="Q63" s="250">
        <v>0</v>
      </c>
      <c r="R63" s="252">
        <v>0</v>
      </c>
      <c r="S63" s="15"/>
      <c r="T63" s="15"/>
      <c r="U63" s="15"/>
      <c r="V63" s="15"/>
    </row>
    <row r="64" spans="1:22">
      <c r="A64" s="253"/>
      <c r="B64" s="254" t="s">
        <v>113</v>
      </c>
      <c r="C64" s="255">
        <v>4.3234909241672392E-2</v>
      </c>
      <c r="D64" s="256">
        <v>0</v>
      </c>
      <c r="E64" s="256">
        <v>8.6215092454975967E-2</v>
      </c>
      <c r="F64" s="256">
        <v>9.1448189762796506E-2</v>
      </c>
      <c r="G64" s="256">
        <v>1.9240019240019241E-2</v>
      </c>
      <c r="H64" s="256">
        <v>0</v>
      </c>
      <c r="I64" s="256">
        <v>0</v>
      </c>
      <c r="J64" s="257">
        <v>7.3656996364584393E-2</v>
      </c>
      <c r="K64" s="255">
        <v>0</v>
      </c>
      <c r="L64" s="256">
        <v>0</v>
      </c>
      <c r="M64" s="256">
        <v>0</v>
      </c>
      <c r="N64" s="256">
        <v>0</v>
      </c>
      <c r="O64" s="255">
        <v>0</v>
      </c>
      <c r="P64" s="255">
        <v>0</v>
      </c>
      <c r="Q64" s="256">
        <v>0</v>
      </c>
      <c r="R64" s="258">
        <v>0</v>
      </c>
      <c r="S64" s="15"/>
      <c r="T64" s="15"/>
      <c r="U64" s="15"/>
      <c r="V64" s="15"/>
    </row>
    <row r="65" spans="1:23">
      <c r="A65" s="253"/>
      <c r="B65" s="317" t="s">
        <v>114</v>
      </c>
      <c r="C65" s="318">
        <v>-0.32828722993945014</v>
      </c>
      <c r="D65" s="319">
        <v>0</v>
      </c>
      <c r="E65" s="319">
        <v>-1.3715335316697082</v>
      </c>
      <c r="F65" s="319">
        <v>0.44901354801035187</v>
      </c>
      <c r="G65" s="319">
        <v>1.3450748688108782</v>
      </c>
      <c r="H65" s="319">
        <v>0</v>
      </c>
      <c r="I65" s="319">
        <v>0</v>
      </c>
      <c r="J65" s="320">
        <v>-0.77491619596686823</v>
      </c>
      <c r="K65" s="318">
        <v>0</v>
      </c>
      <c r="L65" s="319">
        <v>0</v>
      </c>
      <c r="M65" s="319">
        <v>0</v>
      </c>
      <c r="N65" s="319">
        <v>0</v>
      </c>
      <c r="O65" s="318">
        <v>0</v>
      </c>
      <c r="P65" s="321">
        <v>0</v>
      </c>
      <c r="Q65" s="319">
        <v>0</v>
      </c>
      <c r="R65" s="322">
        <v>0</v>
      </c>
      <c r="S65" s="15"/>
      <c r="T65" s="15"/>
      <c r="U65" s="15"/>
      <c r="V65" s="15"/>
    </row>
    <row r="66" spans="1:23">
      <c r="A66" s="253"/>
      <c r="B66" s="234" t="s">
        <v>115</v>
      </c>
      <c r="C66" s="249">
        <v>0.15056096528365792</v>
      </c>
      <c r="D66" s="250">
        <v>0</v>
      </c>
      <c r="E66" s="250">
        <v>0.39211428051262376</v>
      </c>
      <c r="F66" s="250">
        <v>0.35044060627423335</v>
      </c>
      <c r="G66" s="250">
        <v>0.49633346198379003</v>
      </c>
      <c r="H66" s="622">
        <v>0</v>
      </c>
      <c r="I66" s="250">
        <v>0</v>
      </c>
      <c r="J66" s="251">
        <v>0.31589414570586039</v>
      </c>
      <c r="K66" s="249">
        <v>0</v>
      </c>
      <c r="L66" s="250">
        <v>0</v>
      </c>
      <c r="M66" s="250">
        <v>0</v>
      </c>
      <c r="N66" s="250">
        <v>0</v>
      </c>
      <c r="O66" s="249">
        <v>0</v>
      </c>
      <c r="P66" s="249">
        <v>0</v>
      </c>
      <c r="Q66" s="250">
        <v>0</v>
      </c>
      <c r="R66" s="252">
        <v>0</v>
      </c>
      <c r="S66" s="15"/>
      <c r="T66" s="15"/>
      <c r="U66" s="15"/>
      <c r="V66" s="15"/>
    </row>
    <row r="67" spans="1:23">
      <c r="A67" s="253"/>
      <c r="B67" s="254" t="s">
        <v>116</v>
      </c>
      <c r="C67" s="255">
        <v>0.20027726312789085</v>
      </c>
      <c r="D67" s="256">
        <v>0</v>
      </c>
      <c r="E67" s="256">
        <v>0.45433813308943433</v>
      </c>
      <c r="F67" s="256">
        <v>0.39901511998890277</v>
      </c>
      <c r="G67" s="256">
        <v>0.49062049062049062</v>
      </c>
      <c r="H67" s="256">
        <v>6.0477453580901855E-2</v>
      </c>
      <c r="I67" s="256">
        <v>0</v>
      </c>
      <c r="J67" s="257">
        <v>0.37514302680937966</v>
      </c>
      <c r="K67" s="255">
        <v>0</v>
      </c>
      <c r="L67" s="256">
        <v>0</v>
      </c>
      <c r="M67" s="256">
        <v>0</v>
      </c>
      <c r="N67" s="256">
        <v>0</v>
      </c>
      <c r="O67" s="255">
        <v>0</v>
      </c>
      <c r="P67" s="255">
        <v>0</v>
      </c>
      <c r="Q67" s="256">
        <v>0</v>
      </c>
      <c r="R67" s="258">
        <v>0</v>
      </c>
      <c r="S67" s="15"/>
      <c r="T67" s="15"/>
      <c r="U67" s="15"/>
      <c r="V67" s="15"/>
    </row>
    <row r="68" spans="1:23">
      <c r="A68" s="253"/>
      <c r="B68" s="317" t="s">
        <v>117</v>
      </c>
      <c r="C68" s="318">
        <v>4.9716297844232926</v>
      </c>
      <c r="D68" s="319">
        <v>0</v>
      </c>
      <c r="E68" s="319">
        <v>6.222385257681057</v>
      </c>
      <c r="F68" s="319">
        <v>4.8574513714669418</v>
      </c>
      <c r="G68" s="319">
        <v>-0.57129713632994017</v>
      </c>
      <c r="H68" s="593">
        <v>0</v>
      </c>
      <c r="I68" s="319">
        <v>0</v>
      </c>
      <c r="J68" s="320">
        <v>5.9248881103519278</v>
      </c>
      <c r="K68" s="318">
        <v>0</v>
      </c>
      <c r="L68" s="319">
        <v>0</v>
      </c>
      <c r="M68" s="319">
        <v>0</v>
      </c>
      <c r="N68" s="319">
        <v>0</v>
      </c>
      <c r="O68" s="318">
        <v>0</v>
      </c>
      <c r="P68" s="321">
        <v>0</v>
      </c>
      <c r="Q68" s="319">
        <v>0</v>
      </c>
      <c r="R68" s="322">
        <v>0</v>
      </c>
      <c r="S68" s="624"/>
      <c r="T68" s="15"/>
      <c r="U68" s="15"/>
      <c r="V68" s="15"/>
    </row>
    <row r="69" spans="1:23">
      <c r="A69" s="253"/>
      <c r="B69" s="234" t="s">
        <v>118</v>
      </c>
      <c r="C69" s="249">
        <v>2.3814563928873837E-4</v>
      </c>
      <c r="D69" s="250">
        <v>0</v>
      </c>
      <c r="E69" s="250">
        <v>2.9838033251623895E-2</v>
      </c>
      <c r="F69" s="250">
        <v>1.5756080366584421E-2</v>
      </c>
      <c r="G69" s="250">
        <v>0</v>
      </c>
      <c r="H69" s="250">
        <v>0.19559099437148217</v>
      </c>
      <c r="I69" s="250">
        <v>0</v>
      </c>
      <c r="J69" s="251">
        <v>2.0843969307436164E-2</v>
      </c>
      <c r="K69" s="249">
        <v>0</v>
      </c>
      <c r="L69" s="250">
        <v>0</v>
      </c>
      <c r="M69" s="250">
        <v>0</v>
      </c>
      <c r="N69" s="250">
        <v>0</v>
      </c>
      <c r="O69" s="249">
        <v>0</v>
      </c>
      <c r="P69" s="249">
        <v>0</v>
      </c>
      <c r="Q69" s="250">
        <v>0</v>
      </c>
      <c r="R69" s="252">
        <v>0</v>
      </c>
      <c r="S69" s="605"/>
      <c r="T69" s="15"/>
      <c r="U69" s="15"/>
      <c r="V69" s="15"/>
    </row>
    <row r="70" spans="1:23">
      <c r="A70" s="253"/>
      <c r="B70" s="254" t="s">
        <v>119</v>
      </c>
      <c r="C70" s="255">
        <v>0</v>
      </c>
      <c r="D70" s="256">
        <v>0</v>
      </c>
      <c r="E70" s="256">
        <v>1.635487306620775E-2</v>
      </c>
      <c r="F70" s="256">
        <v>6.2421972534332086E-4</v>
      </c>
      <c r="G70" s="256">
        <v>0</v>
      </c>
      <c r="H70" s="256">
        <v>7.4801061007957553E-2</v>
      </c>
      <c r="I70" s="256">
        <v>0</v>
      </c>
      <c r="J70" s="257">
        <v>1.0417421027475631E-2</v>
      </c>
      <c r="K70" s="255">
        <v>0</v>
      </c>
      <c r="L70" s="256">
        <v>0</v>
      </c>
      <c r="M70" s="256">
        <v>0</v>
      </c>
      <c r="N70" s="256">
        <v>0</v>
      </c>
      <c r="O70" s="255">
        <v>0</v>
      </c>
      <c r="P70" s="255">
        <v>0</v>
      </c>
      <c r="Q70" s="256">
        <v>0</v>
      </c>
      <c r="R70" s="258">
        <v>0</v>
      </c>
      <c r="S70" s="15"/>
      <c r="T70" s="15"/>
      <c r="U70" s="15"/>
      <c r="V70" s="15"/>
    </row>
    <row r="71" spans="1:23">
      <c r="A71" s="253"/>
      <c r="B71" s="317" t="s">
        <v>120</v>
      </c>
      <c r="C71" s="318">
        <v>-2.3814563928873836E-2</v>
      </c>
      <c r="D71" s="319">
        <v>0</v>
      </c>
      <c r="E71" s="319">
        <v>-1.3483160185416145</v>
      </c>
      <c r="F71" s="319">
        <v>-1.5131860641241102</v>
      </c>
      <c r="G71" s="319">
        <v>0</v>
      </c>
      <c r="H71" s="331">
        <v>-12.078993336352461</v>
      </c>
      <c r="I71" s="319">
        <v>0</v>
      </c>
      <c r="J71" s="320">
        <v>-1.0426548279960532</v>
      </c>
      <c r="K71" s="318">
        <v>0</v>
      </c>
      <c r="L71" s="319">
        <v>0</v>
      </c>
      <c r="M71" s="319">
        <v>0</v>
      </c>
      <c r="N71" s="319">
        <v>0</v>
      </c>
      <c r="O71" s="318">
        <v>0</v>
      </c>
      <c r="P71" s="321">
        <v>0</v>
      </c>
      <c r="Q71" s="319">
        <v>0</v>
      </c>
      <c r="R71" s="322">
        <v>0</v>
      </c>
      <c r="S71" s="15"/>
      <c r="T71" s="15"/>
      <c r="U71" s="15"/>
      <c r="V71" s="15"/>
    </row>
    <row r="72" spans="1:23">
      <c r="A72" s="253"/>
      <c r="B72" s="234" t="s">
        <v>121</v>
      </c>
      <c r="C72" s="249">
        <v>4.8542019475021167E-2</v>
      </c>
      <c r="D72" s="250">
        <v>0</v>
      </c>
      <c r="E72" s="250">
        <v>6.8271812844203719E-4</v>
      </c>
      <c r="F72" s="250">
        <v>7.4021854071201971E-4</v>
      </c>
      <c r="G72" s="250">
        <v>0</v>
      </c>
      <c r="H72" s="250">
        <v>0</v>
      </c>
      <c r="I72" s="250">
        <v>0</v>
      </c>
      <c r="J72" s="251">
        <v>1.4458574944565938E-2</v>
      </c>
      <c r="K72" s="249">
        <v>0</v>
      </c>
      <c r="L72" s="250">
        <v>0</v>
      </c>
      <c r="M72" s="250">
        <v>0</v>
      </c>
      <c r="N72" s="250">
        <v>0</v>
      </c>
      <c r="O72" s="249">
        <v>0</v>
      </c>
      <c r="P72" s="249">
        <v>0</v>
      </c>
      <c r="Q72" s="250">
        <v>0</v>
      </c>
      <c r="R72" s="252">
        <v>0</v>
      </c>
      <c r="S72" s="15"/>
      <c r="T72" s="15"/>
      <c r="U72" s="15"/>
      <c r="V72" s="15"/>
    </row>
    <row r="73" spans="1:23">
      <c r="A73" s="253"/>
      <c r="B73" s="254" t="s">
        <v>122</v>
      </c>
      <c r="C73" s="255">
        <v>1.5158778487490769E-2</v>
      </c>
      <c r="D73" s="256">
        <v>0</v>
      </c>
      <c r="E73" s="256">
        <v>6.3181076966586241E-4</v>
      </c>
      <c r="F73" s="256">
        <v>0</v>
      </c>
      <c r="G73" s="256">
        <v>0</v>
      </c>
      <c r="H73" s="256">
        <v>0</v>
      </c>
      <c r="I73" s="256">
        <v>0</v>
      </c>
      <c r="J73" s="257">
        <v>4.6166881508625064E-3</v>
      </c>
      <c r="K73" s="255">
        <v>0</v>
      </c>
      <c r="L73" s="256">
        <v>0</v>
      </c>
      <c r="M73" s="256">
        <v>0</v>
      </c>
      <c r="N73" s="256">
        <v>0</v>
      </c>
      <c r="O73" s="255">
        <v>0</v>
      </c>
      <c r="P73" s="255">
        <v>0</v>
      </c>
      <c r="Q73" s="256">
        <v>0</v>
      </c>
      <c r="R73" s="258">
        <v>0</v>
      </c>
      <c r="S73" s="15"/>
      <c r="T73" s="15"/>
      <c r="U73" s="15"/>
      <c r="V73" s="15"/>
    </row>
    <row r="74" spans="1:23">
      <c r="A74" s="253"/>
      <c r="B74" s="317" t="s">
        <v>123</v>
      </c>
      <c r="C74" s="318">
        <v>-3.33832409875304</v>
      </c>
      <c r="D74" s="319">
        <v>0</v>
      </c>
      <c r="E74" s="319">
        <v>-5.0907358776174777E-3</v>
      </c>
      <c r="F74" s="319">
        <v>-7.4021854071201973E-2</v>
      </c>
      <c r="G74" s="319">
        <v>0</v>
      </c>
      <c r="H74" s="319">
        <v>0</v>
      </c>
      <c r="I74" s="319">
        <v>0</v>
      </c>
      <c r="J74" s="320">
        <v>-0.98418867937034304</v>
      </c>
      <c r="K74" s="318">
        <v>0</v>
      </c>
      <c r="L74" s="319">
        <v>0</v>
      </c>
      <c r="M74" s="319">
        <v>0</v>
      </c>
      <c r="N74" s="319">
        <v>0</v>
      </c>
      <c r="O74" s="318">
        <v>0</v>
      </c>
      <c r="P74" s="321">
        <v>0</v>
      </c>
      <c r="Q74" s="319">
        <v>0</v>
      </c>
      <c r="R74" s="322">
        <v>0</v>
      </c>
      <c r="S74" s="15"/>
      <c r="T74" s="15"/>
      <c r="U74" s="15"/>
      <c r="V74" s="15"/>
    </row>
    <row r="75" spans="1:23">
      <c r="A75" s="253"/>
      <c r="B75" s="234" t="s">
        <v>124</v>
      </c>
      <c r="C75" s="249">
        <v>0</v>
      </c>
      <c r="D75" s="250">
        <v>0</v>
      </c>
      <c r="E75" s="250">
        <v>0</v>
      </c>
      <c r="F75" s="250">
        <v>0</v>
      </c>
      <c r="G75" s="250">
        <v>0</v>
      </c>
      <c r="H75" s="250">
        <v>0</v>
      </c>
      <c r="I75" s="250">
        <v>0</v>
      </c>
      <c r="J75" s="251">
        <v>0</v>
      </c>
      <c r="K75" s="249">
        <v>0</v>
      </c>
      <c r="L75" s="250">
        <v>0</v>
      </c>
      <c r="M75" s="250">
        <v>0</v>
      </c>
      <c r="N75" s="250">
        <v>0</v>
      </c>
      <c r="O75" s="249">
        <v>0</v>
      </c>
      <c r="P75" s="249">
        <v>0</v>
      </c>
      <c r="Q75" s="250">
        <v>0</v>
      </c>
      <c r="R75" s="252">
        <v>0</v>
      </c>
      <c r="S75" s="15"/>
      <c r="T75" s="15"/>
      <c r="U75" s="15"/>
      <c r="V75" s="15"/>
    </row>
    <row r="76" spans="1:23">
      <c r="A76" s="253"/>
      <c r="B76" s="254" t="s">
        <v>125</v>
      </c>
      <c r="C76" s="255">
        <v>0</v>
      </c>
      <c r="D76" s="256">
        <v>0</v>
      </c>
      <c r="E76" s="256">
        <v>0</v>
      </c>
      <c r="F76" s="256">
        <v>0</v>
      </c>
      <c r="G76" s="256">
        <v>0</v>
      </c>
      <c r="H76" s="256">
        <v>0</v>
      </c>
      <c r="I76" s="256">
        <v>0</v>
      </c>
      <c r="J76" s="257">
        <v>0</v>
      </c>
      <c r="K76" s="255">
        <v>0</v>
      </c>
      <c r="L76" s="256">
        <v>0</v>
      </c>
      <c r="M76" s="256">
        <v>0</v>
      </c>
      <c r="N76" s="256">
        <v>0</v>
      </c>
      <c r="O76" s="255">
        <v>0</v>
      </c>
      <c r="P76" s="255">
        <v>0</v>
      </c>
      <c r="Q76" s="256">
        <v>0</v>
      </c>
      <c r="R76" s="258">
        <v>0</v>
      </c>
      <c r="S76" s="15"/>
      <c r="T76" s="15"/>
      <c r="U76" s="15"/>
      <c r="V76" s="15"/>
      <c r="W76" s="623"/>
    </row>
    <row r="77" spans="1:23">
      <c r="A77" s="260"/>
      <c r="B77" s="317" t="s">
        <v>126</v>
      </c>
      <c r="C77" s="318">
        <v>0</v>
      </c>
      <c r="D77" s="319">
        <v>0</v>
      </c>
      <c r="E77" s="319">
        <v>0</v>
      </c>
      <c r="F77" s="319">
        <v>0</v>
      </c>
      <c r="G77" s="319">
        <v>0</v>
      </c>
      <c r="H77" s="319">
        <v>0</v>
      </c>
      <c r="I77" s="319">
        <v>0</v>
      </c>
      <c r="J77" s="320">
        <v>0</v>
      </c>
      <c r="K77" s="318">
        <v>0</v>
      </c>
      <c r="L77" s="319">
        <v>0</v>
      </c>
      <c r="M77" s="319">
        <v>0</v>
      </c>
      <c r="N77" s="319">
        <v>0</v>
      </c>
      <c r="O77" s="318">
        <v>0</v>
      </c>
      <c r="P77" s="321">
        <v>0</v>
      </c>
      <c r="Q77" s="319">
        <v>0</v>
      </c>
      <c r="R77" s="322">
        <v>0</v>
      </c>
      <c r="S77" s="15"/>
      <c r="T77" s="15"/>
      <c r="U77" s="15"/>
      <c r="V77" s="15"/>
    </row>
    <row r="78" spans="1:23">
      <c r="A78" s="248" t="s">
        <v>72</v>
      </c>
      <c r="B78" s="234" t="s">
        <v>91</v>
      </c>
      <c r="C78" s="249">
        <v>0.96498667102945845</v>
      </c>
      <c r="D78" s="250">
        <v>0</v>
      </c>
      <c r="E78" s="250">
        <v>0</v>
      </c>
      <c r="F78" s="250">
        <v>0.99908977993533643</v>
      </c>
      <c r="G78" s="250">
        <v>0</v>
      </c>
      <c r="H78" s="250">
        <v>0</v>
      </c>
      <c r="I78" s="250">
        <v>0</v>
      </c>
      <c r="J78" s="251">
        <v>0.97074145539139922</v>
      </c>
      <c r="K78" s="249">
        <v>0</v>
      </c>
      <c r="L78" s="250">
        <v>0.89670539062019794</v>
      </c>
      <c r="M78" s="250">
        <v>0.83063343085797725</v>
      </c>
      <c r="N78" s="250">
        <v>0</v>
      </c>
      <c r="O78" s="249">
        <v>0.86192681783644198</v>
      </c>
      <c r="P78" s="249">
        <v>0</v>
      </c>
      <c r="Q78" s="250">
        <v>0</v>
      </c>
      <c r="R78" s="252">
        <v>0</v>
      </c>
      <c r="S78" s="15"/>
      <c r="T78" s="15"/>
      <c r="U78" s="15"/>
      <c r="V78" s="15"/>
    </row>
    <row r="79" spans="1:23">
      <c r="A79" s="253"/>
      <c r="B79" s="254" t="s">
        <v>92</v>
      </c>
      <c r="C79" s="255">
        <v>0.96971455425143505</v>
      </c>
      <c r="D79" s="256">
        <v>0</v>
      </c>
      <c r="E79" s="256">
        <v>0</v>
      </c>
      <c r="F79" s="256">
        <v>0.98361074816792593</v>
      </c>
      <c r="G79" s="256">
        <v>0</v>
      </c>
      <c r="H79" s="256">
        <v>0</v>
      </c>
      <c r="I79" s="256">
        <v>0</v>
      </c>
      <c r="J79" s="257">
        <v>0.97203972643322345</v>
      </c>
      <c r="K79" s="255">
        <v>0</v>
      </c>
      <c r="L79" s="256">
        <v>0.86705081393579797</v>
      </c>
      <c r="M79" s="256">
        <v>0.80962476505862346</v>
      </c>
      <c r="N79" s="256">
        <v>0</v>
      </c>
      <c r="O79" s="255">
        <v>0.83654463330559847</v>
      </c>
      <c r="P79" s="255">
        <v>0</v>
      </c>
      <c r="Q79" s="256">
        <v>0</v>
      </c>
      <c r="R79" s="258">
        <v>0</v>
      </c>
      <c r="S79" s="15"/>
      <c r="T79" s="15"/>
      <c r="U79" s="15"/>
      <c r="V79" s="15"/>
    </row>
    <row r="80" spans="1:23">
      <c r="A80" s="253"/>
      <c r="B80" s="317" t="s">
        <v>93</v>
      </c>
      <c r="C80" s="318">
        <v>0.47278832219765921</v>
      </c>
      <c r="D80" s="319">
        <v>0</v>
      </c>
      <c r="E80" s="319">
        <v>0</v>
      </c>
      <c r="F80" s="319">
        <v>-1.54790317674105</v>
      </c>
      <c r="G80" s="319">
        <v>0</v>
      </c>
      <c r="H80" s="319">
        <v>0</v>
      </c>
      <c r="I80" s="319">
        <v>0</v>
      </c>
      <c r="J80" s="320">
        <v>0.12982710418242283</v>
      </c>
      <c r="K80" s="318">
        <v>0</v>
      </c>
      <c r="L80" s="319">
        <v>-2.9654576684399969</v>
      </c>
      <c r="M80" s="319">
        <v>-2.1008665799353787</v>
      </c>
      <c r="N80" s="319">
        <v>0</v>
      </c>
      <c r="O80" s="318">
        <v>-2.538218453084351</v>
      </c>
      <c r="P80" s="321">
        <v>0</v>
      </c>
      <c r="Q80" s="319">
        <v>0</v>
      </c>
      <c r="R80" s="322">
        <v>0</v>
      </c>
      <c r="S80" s="15"/>
      <c r="T80" s="15"/>
      <c r="U80" s="15"/>
      <c r="V80" s="15"/>
    </row>
    <row r="81" spans="1:22">
      <c r="A81" s="253"/>
      <c r="B81" s="234" t="s">
        <v>94</v>
      </c>
      <c r="C81" s="249">
        <v>0</v>
      </c>
      <c r="D81" s="250">
        <v>0</v>
      </c>
      <c r="E81" s="250">
        <v>0</v>
      </c>
      <c r="F81" s="250">
        <v>0</v>
      </c>
      <c r="G81" s="250">
        <v>0</v>
      </c>
      <c r="H81" s="250">
        <v>0</v>
      </c>
      <c r="I81" s="250">
        <v>0</v>
      </c>
      <c r="J81" s="251">
        <v>0</v>
      </c>
      <c r="K81" s="249">
        <v>0</v>
      </c>
      <c r="L81" s="250">
        <v>0</v>
      </c>
      <c r="M81" s="250">
        <v>0</v>
      </c>
      <c r="N81" s="250">
        <v>0</v>
      </c>
      <c r="O81" s="249">
        <v>0</v>
      </c>
      <c r="P81" s="249">
        <v>0</v>
      </c>
      <c r="Q81" s="250">
        <v>0</v>
      </c>
      <c r="R81" s="252">
        <v>0</v>
      </c>
      <c r="S81" s="15"/>
      <c r="T81" s="15"/>
      <c r="U81" s="15"/>
      <c r="V81" s="15"/>
    </row>
    <row r="82" spans="1:22">
      <c r="A82" s="253"/>
      <c r="B82" s="254" t="s">
        <v>95</v>
      </c>
      <c r="C82" s="255">
        <v>0</v>
      </c>
      <c r="D82" s="256">
        <v>0</v>
      </c>
      <c r="E82" s="256">
        <v>0</v>
      </c>
      <c r="F82" s="256">
        <v>0</v>
      </c>
      <c r="G82" s="256">
        <v>0</v>
      </c>
      <c r="H82" s="256">
        <v>0</v>
      </c>
      <c r="I82" s="256">
        <v>0</v>
      </c>
      <c r="J82" s="257">
        <v>0</v>
      </c>
      <c r="K82" s="255">
        <v>0</v>
      </c>
      <c r="L82" s="256">
        <v>0</v>
      </c>
      <c r="M82" s="256">
        <v>0</v>
      </c>
      <c r="N82" s="256">
        <v>0</v>
      </c>
      <c r="O82" s="255">
        <v>0</v>
      </c>
      <c r="P82" s="255">
        <v>0</v>
      </c>
      <c r="Q82" s="256">
        <v>0</v>
      </c>
      <c r="R82" s="258">
        <v>0</v>
      </c>
      <c r="S82" s="15"/>
      <c r="T82" s="15"/>
      <c r="U82" s="15"/>
      <c r="V82" s="15"/>
    </row>
    <row r="83" spans="1:22">
      <c r="A83" s="253"/>
      <c r="B83" s="317" t="s">
        <v>96</v>
      </c>
      <c r="C83" s="318">
        <v>0</v>
      </c>
      <c r="D83" s="319">
        <v>0</v>
      </c>
      <c r="E83" s="319">
        <v>0</v>
      </c>
      <c r="F83" s="319">
        <v>0</v>
      </c>
      <c r="G83" s="319">
        <v>0</v>
      </c>
      <c r="H83" s="319">
        <v>0</v>
      </c>
      <c r="I83" s="319">
        <v>0</v>
      </c>
      <c r="J83" s="320">
        <v>0</v>
      </c>
      <c r="K83" s="318">
        <v>0</v>
      </c>
      <c r="L83" s="319">
        <v>0</v>
      </c>
      <c r="M83" s="319">
        <v>0</v>
      </c>
      <c r="N83" s="319">
        <v>0</v>
      </c>
      <c r="O83" s="318">
        <v>0</v>
      </c>
      <c r="P83" s="321">
        <v>0</v>
      </c>
      <c r="Q83" s="319">
        <v>0</v>
      </c>
      <c r="R83" s="322">
        <v>0</v>
      </c>
      <c r="S83" s="15"/>
      <c r="T83" s="15"/>
      <c r="U83" s="15"/>
      <c r="V83" s="15"/>
    </row>
    <row r="84" spans="1:22">
      <c r="A84" s="253"/>
      <c r="B84" s="234" t="s">
        <v>97</v>
      </c>
      <c r="C84" s="249">
        <v>3.5013328970541532E-2</v>
      </c>
      <c r="D84" s="250">
        <v>0</v>
      </c>
      <c r="E84" s="250">
        <v>0</v>
      </c>
      <c r="F84" s="250">
        <v>9.1022006466355044E-4</v>
      </c>
      <c r="G84" s="250">
        <v>0</v>
      </c>
      <c r="H84" s="250">
        <v>0</v>
      </c>
      <c r="I84" s="250">
        <v>0</v>
      </c>
      <c r="J84" s="251">
        <v>2.9258544608600768E-2</v>
      </c>
      <c r="K84" s="249">
        <v>0</v>
      </c>
      <c r="L84" s="250">
        <v>7.7687626774847876E-2</v>
      </c>
      <c r="M84" s="250">
        <v>0.12422501092312882</v>
      </c>
      <c r="N84" s="250">
        <v>0</v>
      </c>
      <c r="O84" s="249">
        <v>0.10218370359156795</v>
      </c>
      <c r="P84" s="249">
        <v>0</v>
      </c>
      <c r="Q84" s="250">
        <v>0</v>
      </c>
      <c r="R84" s="252">
        <v>0</v>
      </c>
      <c r="S84" s="15"/>
      <c r="T84" s="15"/>
      <c r="U84" s="15"/>
      <c r="V84" s="15"/>
    </row>
    <row r="85" spans="1:22">
      <c r="A85" s="253"/>
      <c r="B85" s="254" t="s">
        <v>98</v>
      </c>
      <c r="C85" s="255">
        <v>3.0285445748564972E-2</v>
      </c>
      <c r="D85" s="256">
        <v>0</v>
      </c>
      <c r="E85" s="256">
        <v>0</v>
      </c>
      <c r="F85" s="256">
        <v>1.6389251832074077E-2</v>
      </c>
      <c r="G85" s="256">
        <v>0</v>
      </c>
      <c r="H85" s="256">
        <v>0</v>
      </c>
      <c r="I85" s="256">
        <v>0</v>
      </c>
      <c r="J85" s="257">
        <v>2.796027356677656E-2</v>
      </c>
      <c r="K85" s="255">
        <v>0</v>
      </c>
      <c r="L85" s="256">
        <v>8.5894315127541962E-2</v>
      </c>
      <c r="M85" s="256">
        <v>0.13473887944151078</v>
      </c>
      <c r="N85" s="256">
        <v>0</v>
      </c>
      <c r="O85" s="255">
        <v>0.11184179246404374</v>
      </c>
      <c r="P85" s="255">
        <v>0</v>
      </c>
      <c r="Q85" s="256">
        <v>0</v>
      </c>
      <c r="R85" s="258">
        <v>0</v>
      </c>
      <c r="S85" s="15"/>
      <c r="T85" s="15"/>
      <c r="U85" s="15"/>
      <c r="V85" s="15"/>
    </row>
    <row r="86" spans="1:22">
      <c r="A86" s="253"/>
      <c r="B86" s="317" t="s">
        <v>99</v>
      </c>
      <c r="C86" s="318">
        <v>-0.4727883221976561</v>
      </c>
      <c r="D86" s="319">
        <v>0</v>
      </c>
      <c r="E86" s="319">
        <v>0</v>
      </c>
      <c r="F86" s="319">
        <v>1.5479031767410527</v>
      </c>
      <c r="G86" s="319">
        <v>0</v>
      </c>
      <c r="H86" s="319">
        <v>0</v>
      </c>
      <c r="I86" s="319">
        <v>0</v>
      </c>
      <c r="J86" s="320">
        <v>-0.12982710418242074</v>
      </c>
      <c r="K86" s="318">
        <v>0</v>
      </c>
      <c r="L86" s="319">
        <v>0.82066883526940859</v>
      </c>
      <c r="M86" s="319">
        <v>1.0513868518381959</v>
      </c>
      <c r="N86" s="319">
        <v>0</v>
      </c>
      <c r="O86" s="318">
        <v>0.96580888724757952</v>
      </c>
      <c r="P86" s="321">
        <v>0</v>
      </c>
      <c r="Q86" s="319">
        <v>0</v>
      </c>
      <c r="R86" s="322">
        <v>0</v>
      </c>
      <c r="S86" s="15"/>
      <c r="T86" s="15"/>
      <c r="U86" s="15"/>
      <c r="V86" s="15"/>
    </row>
    <row r="87" spans="1:22">
      <c r="A87" s="253"/>
      <c r="B87" s="234" t="s">
        <v>100</v>
      </c>
      <c r="C87" s="249">
        <v>0</v>
      </c>
      <c r="D87" s="250">
        <v>0</v>
      </c>
      <c r="E87" s="250">
        <v>0</v>
      </c>
      <c r="F87" s="250">
        <v>0</v>
      </c>
      <c r="G87" s="250">
        <v>0</v>
      </c>
      <c r="H87" s="250">
        <v>0</v>
      </c>
      <c r="I87" s="250">
        <v>0</v>
      </c>
      <c r="J87" s="251">
        <v>0</v>
      </c>
      <c r="K87" s="249">
        <v>0</v>
      </c>
      <c r="L87" s="250">
        <v>1.1617186059376728E-3</v>
      </c>
      <c r="M87" s="250">
        <v>2.4224457853314822E-3</v>
      </c>
      <c r="N87" s="250">
        <v>0</v>
      </c>
      <c r="O87" s="249">
        <v>1.8253328248408291E-3</v>
      </c>
      <c r="P87" s="249">
        <v>0</v>
      </c>
      <c r="Q87" s="250">
        <v>0</v>
      </c>
      <c r="R87" s="252">
        <v>0</v>
      </c>
      <c r="S87" s="15"/>
      <c r="T87" s="15"/>
      <c r="U87" s="15"/>
      <c r="V87" s="15"/>
    </row>
    <row r="88" spans="1:22">
      <c r="A88" s="253"/>
      <c r="B88" s="254" t="s">
        <v>101</v>
      </c>
      <c r="C88" s="255">
        <v>0</v>
      </c>
      <c r="D88" s="256">
        <v>0</v>
      </c>
      <c r="E88" s="256">
        <v>0</v>
      </c>
      <c r="F88" s="256">
        <v>0</v>
      </c>
      <c r="G88" s="256">
        <v>0</v>
      </c>
      <c r="H88" s="256">
        <v>0</v>
      </c>
      <c r="I88" s="256">
        <v>0</v>
      </c>
      <c r="J88" s="257">
        <v>0</v>
      </c>
      <c r="K88" s="255">
        <v>0</v>
      </c>
      <c r="L88" s="256">
        <v>1.7495816217860947E-3</v>
      </c>
      <c r="M88" s="256">
        <v>2.8528595721829409E-3</v>
      </c>
      <c r="N88" s="256">
        <v>0</v>
      </c>
      <c r="O88" s="255">
        <v>2.3356709853797693E-3</v>
      </c>
      <c r="P88" s="255">
        <v>0</v>
      </c>
      <c r="Q88" s="256">
        <v>0</v>
      </c>
      <c r="R88" s="258">
        <v>0</v>
      </c>
      <c r="S88" s="15"/>
      <c r="T88" s="15"/>
      <c r="U88" s="15"/>
      <c r="V88" s="15"/>
    </row>
    <row r="89" spans="1:22">
      <c r="A89" s="253"/>
      <c r="B89" s="317" t="s">
        <v>102</v>
      </c>
      <c r="C89" s="318">
        <v>0</v>
      </c>
      <c r="D89" s="319">
        <v>0</v>
      </c>
      <c r="E89" s="319">
        <v>0</v>
      </c>
      <c r="F89" s="319">
        <v>0</v>
      </c>
      <c r="G89" s="319">
        <v>0</v>
      </c>
      <c r="H89" s="319">
        <v>0</v>
      </c>
      <c r="I89" s="319">
        <v>0</v>
      </c>
      <c r="J89" s="320">
        <v>0</v>
      </c>
      <c r="K89" s="318">
        <v>0</v>
      </c>
      <c r="L89" s="319">
        <v>5.8786301584842188E-2</v>
      </c>
      <c r="M89" s="319">
        <v>4.3041378685145869E-2</v>
      </c>
      <c r="N89" s="319">
        <v>0</v>
      </c>
      <c r="O89" s="318">
        <v>5.1033816053894017E-2</v>
      </c>
      <c r="P89" s="321">
        <v>0</v>
      </c>
      <c r="Q89" s="319">
        <v>0</v>
      </c>
      <c r="R89" s="322">
        <v>0</v>
      </c>
      <c r="S89" s="15"/>
      <c r="T89" s="15"/>
      <c r="U89" s="15"/>
      <c r="V89" s="15"/>
    </row>
    <row r="90" spans="1:22">
      <c r="A90" s="253"/>
      <c r="B90" s="234" t="s">
        <v>103</v>
      </c>
      <c r="C90" s="249">
        <v>0</v>
      </c>
      <c r="D90" s="250">
        <v>0</v>
      </c>
      <c r="E90" s="250">
        <v>0</v>
      </c>
      <c r="F90" s="250">
        <v>0</v>
      </c>
      <c r="G90" s="250">
        <v>0</v>
      </c>
      <c r="H90" s="250">
        <v>0</v>
      </c>
      <c r="I90" s="250">
        <v>0</v>
      </c>
      <c r="J90" s="251">
        <v>0</v>
      </c>
      <c r="K90" s="249">
        <v>0</v>
      </c>
      <c r="L90" s="250">
        <v>2.4445263999016534E-2</v>
      </c>
      <c r="M90" s="250">
        <v>4.2719112433562488E-2</v>
      </c>
      <c r="N90" s="250">
        <v>0</v>
      </c>
      <c r="O90" s="249">
        <v>3.4064145747149194E-2</v>
      </c>
      <c r="P90" s="249">
        <v>0</v>
      </c>
      <c r="Q90" s="250">
        <v>0</v>
      </c>
      <c r="R90" s="252">
        <v>0</v>
      </c>
      <c r="S90" s="15"/>
      <c r="T90" s="15"/>
      <c r="U90" s="15"/>
      <c r="V90" s="15"/>
    </row>
    <row r="91" spans="1:22">
      <c r="A91" s="253"/>
      <c r="B91" s="254" t="s">
        <v>104</v>
      </c>
      <c r="C91" s="255">
        <v>0</v>
      </c>
      <c r="D91" s="256">
        <v>0</v>
      </c>
      <c r="E91" s="256">
        <v>0</v>
      </c>
      <c r="F91" s="256">
        <v>0</v>
      </c>
      <c r="G91" s="256">
        <v>0</v>
      </c>
      <c r="H91" s="256">
        <v>0</v>
      </c>
      <c r="I91" s="256">
        <v>0</v>
      </c>
      <c r="J91" s="257">
        <v>0</v>
      </c>
      <c r="K91" s="255">
        <v>0</v>
      </c>
      <c r="L91" s="256">
        <v>4.530528931487398E-2</v>
      </c>
      <c r="M91" s="256">
        <v>5.2783495927682805E-2</v>
      </c>
      <c r="N91" s="256">
        <v>0</v>
      </c>
      <c r="O91" s="255">
        <v>4.9277903244978008E-2</v>
      </c>
      <c r="P91" s="255">
        <v>0</v>
      </c>
      <c r="Q91" s="256">
        <v>0</v>
      </c>
      <c r="R91" s="258">
        <v>0</v>
      </c>
      <c r="S91" s="15"/>
      <c r="T91" s="15"/>
      <c r="U91" s="15"/>
      <c r="V91" s="15"/>
    </row>
    <row r="92" spans="1:22">
      <c r="A92" s="253"/>
      <c r="B92" s="317" t="s">
        <v>105</v>
      </c>
      <c r="C92" s="318">
        <v>0</v>
      </c>
      <c r="D92" s="319">
        <v>0</v>
      </c>
      <c r="E92" s="319">
        <v>0</v>
      </c>
      <c r="F92" s="319">
        <v>0</v>
      </c>
      <c r="G92" s="319">
        <v>0</v>
      </c>
      <c r="H92" s="319">
        <v>0</v>
      </c>
      <c r="I92" s="319">
        <v>0</v>
      </c>
      <c r="J92" s="320">
        <v>0</v>
      </c>
      <c r="K92" s="318">
        <v>0</v>
      </c>
      <c r="L92" s="319">
        <v>2.0860025315857444</v>
      </c>
      <c r="M92" s="319">
        <v>1.0064383494120317</v>
      </c>
      <c r="N92" s="319">
        <v>0</v>
      </c>
      <c r="O92" s="318">
        <v>1.5213757497828815</v>
      </c>
      <c r="P92" s="321">
        <v>0</v>
      </c>
      <c r="Q92" s="319">
        <v>0</v>
      </c>
      <c r="R92" s="322">
        <v>0</v>
      </c>
      <c r="S92" s="15"/>
      <c r="T92" s="15"/>
      <c r="U92" s="15"/>
      <c r="V92" s="15"/>
    </row>
    <row r="93" spans="1:22">
      <c r="A93" s="253"/>
      <c r="B93" s="234" t="s">
        <v>106</v>
      </c>
      <c r="C93" s="249">
        <v>0</v>
      </c>
      <c r="D93" s="250">
        <v>0</v>
      </c>
      <c r="E93" s="250">
        <v>0</v>
      </c>
      <c r="F93" s="250">
        <v>0</v>
      </c>
      <c r="G93" s="250">
        <v>0</v>
      </c>
      <c r="H93" s="250">
        <v>0</v>
      </c>
      <c r="I93" s="250">
        <v>0</v>
      </c>
      <c r="J93" s="251">
        <v>0</v>
      </c>
      <c r="K93" s="249">
        <v>0</v>
      </c>
      <c r="L93" s="250">
        <v>0</v>
      </c>
      <c r="M93" s="250">
        <v>0</v>
      </c>
      <c r="N93" s="250">
        <v>0</v>
      </c>
      <c r="O93" s="249">
        <v>0</v>
      </c>
      <c r="P93" s="249">
        <v>0</v>
      </c>
      <c r="Q93" s="250">
        <v>0</v>
      </c>
      <c r="R93" s="252">
        <v>0</v>
      </c>
      <c r="S93" s="15"/>
      <c r="T93" s="15"/>
      <c r="U93" s="15"/>
      <c r="V93" s="15"/>
    </row>
    <row r="94" spans="1:22">
      <c r="A94" s="253"/>
      <c r="B94" s="254" t="s">
        <v>107</v>
      </c>
      <c r="C94" s="255">
        <v>0</v>
      </c>
      <c r="D94" s="256">
        <v>0</v>
      </c>
      <c r="E94" s="256">
        <v>0</v>
      </c>
      <c r="F94" s="256">
        <v>0</v>
      </c>
      <c r="G94" s="256">
        <v>0</v>
      </c>
      <c r="H94" s="256">
        <v>0</v>
      </c>
      <c r="I94" s="256">
        <v>0</v>
      </c>
      <c r="J94" s="257">
        <v>0</v>
      </c>
      <c r="K94" s="255">
        <v>0</v>
      </c>
      <c r="L94" s="256">
        <v>0</v>
      </c>
      <c r="M94" s="256">
        <v>0</v>
      </c>
      <c r="N94" s="256">
        <v>0</v>
      </c>
      <c r="O94" s="255">
        <v>0</v>
      </c>
      <c r="P94" s="255">
        <v>0</v>
      </c>
      <c r="Q94" s="256">
        <v>0</v>
      </c>
      <c r="R94" s="258">
        <v>0</v>
      </c>
      <c r="S94" s="15"/>
      <c r="T94" s="15"/>
      <c r="U94" s="15"/>
      <c r="V94" s="15"/>
    </row>
    <row r="95" spans="1:22">
      <c r="A95" s="253"/>
      <c r="B95" s="317" t="s">
        <v>108</v>
      </c>
      <c r="C95" s="318">
        <v>0</v>
      </c>
      <c r="D95" s="319">
        <v>0</v>
      </c>
      <c r="E95" s="319">
        <v>0</v>
      </c>
      <c r="F95" s="319">
        <v>0</v>
      </c>
      <c r="G95" s="319">
        <v>0</v>
      </c>
      <c r="H95" s="319">
        <v>0</v>
      </c>
      <c r="I95" s="319">
        <v>0</v>
      </c>
      <c r="J95" s="320">
        <v>0</v>
      </c>
      <c r="K95" s="318">
        <v>0</v>
      </c>
      <c r="L95" s="319">
        <v>0</v>
      </c>
      <c r="M95" s="319">
        <v>0</v>
      </c>
      <c r="N95" s="319">
        <v>0</v>
      </c>
      <c r="O95" s="318">
        <v>0</v>
      </c>
      <c r="P95" s="321">
        <v>0</v>
      </c>
      <c r="Q95" s="319">
        <v>0</v>
      </c>
      <c r="R95" s="322">
        <v>0</v>
      </c>
      <c r="S95" s="15"/>
      <c r="T95" s="15"/>
      <c r="U95" s="15"/>
      <c r="V95" s="15"/>
    </row>
    <row r="96" spans="1:22">
      <c r="A96" s="253"/>
      <c r="B96" s="234" t="s">
        <v>109</v>
      </c>
      <c r="C96" s="249">
        <v>0.93720496212537052</v>
      </c>
      <c r="D96" s="250">
        <v>0</v>
      </c>
      <c r="E96" s="250">
        <v>0</v>
      </c>
      <c r="F96" s="250">
        <v>0.99695877449876102</v>
      </c>
      <c r="G96" s="250">
        <v>0</v>
      </c>
      <c r="H96" s="250">
        <v>0</v>
      </c>
      <c r="I96" s="250">
        <v>0</v>
      </c>
      <c r="J96" s="251">
        <v>0.94555499590757408</v>
      </c>
      <c r="K96" s="249">
        <v>0</v>
      </c>
      <c r="L96" s="250">
        <v>0</v>
      </c>
      <c r="M96" s="250">
        <v>0</v>
      </c>
      <c r="N96" s="250">
        <v>0</v>
      </c>
      <c r="O96" s="249">
        <v>0</v>
      </c>
      <c r="P96" s="249">
        <v>0</v>
      </c>
      <c r="Q96" s="250">
        <v>0</v>
      </c>
      <c r="R96" s="252">
        <v>0</v>
      </c>
      <c r="S96" s="15"/>
      <c r="T96" s="15"/>
      <c r="U96" s="15"/>
      <c r="V96" s="15"/>
    </row>
    <row r="97" spans="1:22">
      <c r="A97" s="253"/>
      <c r="B97" s="254" t="s">
        <v>110</v>
      </c>
      <c r="C97" s="255">
        <v>0.94352968460111319</v>
      </c>
      <c r="D97" s="256">
        <v>0</v>
      </c>
      <c r="E97" s="256">
        <v>0</v>
      </c>
      <c r="F97" s="256">
        <v>0.69058415577487331</v>
      </c>
      <c r="G97" s="256">
        <v>0</v>
      </c>
      <c r="H97" s="256">
        <v>0</v>
      </c>
      <c r="I97" s="256">
        <v>0</v>
      </c>
      <c r="J97" s="257">
        <v>0.89836643329999522</v>
      </c>
      <c r="K97" s="255">
        <v>0</v>
      </c>
      <c r="L97" s="256">
        <v>0</v>
      </c>
      <c r="M97" s="256">
        <v>0</v>
      </c>
      <c r="N97" s="256">
        <v>0</v>
      </c>
      <c r="O97" s="255">
        <v>0</v>
      </c>
      <c r="P97" s="255">
        <v>0</v>
      </c>
      <c r="Q97" s="256">
        <v>0</v>
      </c>
      <c r="R97" s="258">
        <v>0</v>
      </c>
      <c r="S97" s="15"/>
      <c r="T97" s="15"/>
      <c r="U97" s="15"/>
      <c r="V97" s="15"/>
    </row>
    <row r="98" spans="1:22">
      <c r="A98" s="253"/>
      <c r="B98" s="317" t="s">
        <v>111</v>
      </c>
      <c r="C98" s="318">
        <v>0.63247224757426723</v>
      </c>
      <c r="D98" s="319">
        <v>0</v>
      </c>
      <c r="E98" s="319">
        <v>0</v>
      </c>
      <c r="F98" s="319">
        <v>-30.637461872388773</v>
      </c>
      <c r="G98" s="319">
        <v>0</v>
      </c>
      <c r="H98" s="319">
        <v>0</v>
      </c>
      <c r="I98" s="319">
        <v>0</v>
      </c>
      <c r="J98" s="320">
        <v>-4.718856260757887</v>
      </c>
      <c r="K98" s="318">
        <v>0</v>
      </c>
      <c r="L98" s="319">
        <v>0</v>
      </c>
      <c r="M98" s="319">
        <v>0</v>
      </c>
      <c r="N98" s="319">
        <v>0</v>
      </c>
      <c r="O98" s="318">
        <v>0</v>
      </c>
      <c r="P98" s="321">
        <v>0</v>
      </c>
      <c r="Q98" s="319">
        <v>0</v>
      </c>
      <c r="R98" s="322">
        <v>0</v>
      </c>
      <c r="S98" s="15"/>
      <c r="T98" s="15"/>
      <c r="U98" s="15"/>
      <c r="V98" s="15"/>
    </row>
    <row r="99" spans="1:22">
      <c r="A99" s="253"/>
      <c r="B99" s="234" t="s">
        <v>112</v>
      </c>
      <c r="C99" s="249">
        <v>0</v>
      </c>
      <c r="D99" s="250">
        <v>0</v>
      </c>
      <c r="E99" s="250">
        <v>0</v>
      </c>
      <c r="F99" s="250">
        <v>0</v>
      </c>
      <c r="G99" s="250">
        <v>0</v>
      </c>
      <c r="H99" s="250">
        <v>0</v>
      </c>
      <c r="I99" s="250">
        <v>0</v>
      </c>
      <c r="J99" s="251">
        <v>0</v>
      </c>
      <c r="K99" s="249">
        <v>0</v>
      </c>
      <c r="L99" s="250">
        <v>0</v>
      </c>
      <c r="M99" s="250">
        <v>0</v>
      </c>
      <c r="N99" s="250">
        <v>0</v>
      </c>
      <c r="O99" s="249">
        <v>0</v>
      </c>
      <c r="P99" s="249">
        <v>0</v>
      </c>
      <c r="Q99" s="250">
        <v>0</v>
      </c>
      <c r="R99" s="252">
        <v>0</v>
      </c>
      <c r="S99" s="15"/>
      <c r="T99" s="15"/>
      <c r="U99" s="15"/>
      <c r="V99" s="15"/>
    </row>
    <row r="100" spans="1:22">
      <c r="A100" s="253"/>
      <c r="B100" s="254" t="s">
        <v>113</v>
      </c>
      <c r="C100" s="255">
        <v>0</v>
      </c>
      <c r="D100" s="256">
        <v>0</v>
      </c>
      <c r="E100" s="256">
        <v>0</v>
      </c>
      <c r="F100" s="256">
        <v>0</v>
      </c>
      <c r="G100" s="256">
        <v>0</v>
      </c>
      <c r="H100" s="256">
        <v>0</v>
      </c>
      <c r="I100" s="256">
        <v>0</v>
      </c>
      <c r="J100" s="257">
        <v>0</v>
      </c>
      <c r="K100" s="255">
        <v>0</v>
      </c>
      <c r="L100" s="256">
        <v>0</v>
      </c>
      <c r="M100" s="256">
        <v>0</v>
      </c>
      <c r="N100" s="256">
        <v>0</v>
      </c>
      <c r="O100" s="255">
        <v>0</v>
      </c>
      <c r="P100" s="255">
        <v>0</v>
      </c>
      <c r="Q100" s="256">
        <v>0</v>
      </c>
      <c r="R100" s="258">
        <v>0</v>
      </c>
      <c r="S100" s="15"/>
      <c r="T100" s="15"/>
      <c r="U100" s="15"/>
      <c r="V100" s="15"/>
    </row>
    <row r="101" spans="1:22">
      <c r="A101" s="253"/>
      <c r="B101" s="317" t="s">
        <v>114</v>
      </c>
      <c r="C101" s="318">
        <v>0</v>
      </c>
      <c r="D101" s="319">
        <v>0</v>
      </c>
      <c r="E101" s="319">
        <v>0</v>
      </c>
      <c r="F101" s="319">
        <v>0</v>
      </c>
      <c r="G101" s="319">
        <v>0</v>
      </c>
      <c r="H101" s="319">
        <v>0</v>
      </c>
      <c r="I101" s="319">
        <v>0</v>
      </c>
      <c r="J101" s="320">
        <v>0</v>
      </c>
      <c r="K101" s="318">
        <v>0</v>
      </c>
      <c r="L101" s="319">
        <v>0</v>
      </c>
      <c r="M101" s="319">
        <v>0</v>
      </c>
      <c r="N101" s="319">
        <v>0</v>
      </c>
      <c r="O101" s="318">
        <v>0</v>
      </c>
      <c r="P101" s="321">
        <v>0</v>
      </c>
      <c r="Q101" s="319">
        <v>0</v>
      </c>
      <c r="R101" s="322">
        <v>0</v>
      </c>
      <c r="S101" s="15"/>
      <c r="T101" s="15"/>
      <c r="U101" s="15"/>
      <c r="V101" s="15"/>
    </row>
    <row r="102" spans="1:22">
      <c r="A102" s="253"/>
      <c r="B102" s="234" t="s">
        <v>115</v>
      </c>
      <c r="C102" s="249">
        <v>6.0434734877593592E-2</v>
      </c>
      <c r="D102" s="250">
        <v>0</v>
      </c>
      <c r="E102" s="250">
        <v>0</v>
      </c>
      <c r="F102" s="250">
        <v>3.041225501239018E-3</v>
      </c>
      <c r="G102" s="250">
        <v>0</v>
      </c>
      <c r="H102" s="250">
        <v>0</v>
      </c>
      <c r="I102" s="250">
        <v>0</v>
      </c>
      <c r="J102" s="251">
        <v>5.2414531259837562E-2</v>
      </c>
      <c r="K102" s="249">
        <v>0</v>
      </c>
      <c r="L102" s="250">
        <v>0</v>
      </c>
      <c r="M102" s="250">
        <v>0</v>
      </c>
      <c r="N102" s="250">
        <v>0</v>
      </c>
      <c r="O102" s="249">
        <v>0</v>
      </c>
      <c r="P102" s="249">
        <v>0</v>
      </c>
      <c r="Q102" s="250">
        <v>0</v>
      </c>
      <c r="R102" s="252">
        <v>0</v>
      </c>
      <c r="S102" s="15"/>
      <c r="T102" s="15"/>
      <c r="U102" s="15"/>
      <c r="V102" s="15"/>
    </row>
    <row r="103" spans="1:22">
      <c r="A103" s="253"/>
      <c r="B103" s="254" t="s">
        <v>116</v>
      </c>
      <c r="C103" s="255">
        <v>5.6470315398886826E-2</v>
      </c>
      <c r="D103" s="256">
        <v>0</v>
      </c>
      <c r="E103" s="256">
        <v>0</v>
      </c>
      <c r="F103" s="256">
        <v>0.30941584422512669</v>
      </c>
      <c r="G103" s="256">
        <v>0</v>
      </c>
      <c r="H103" s="256">
        <v>0</v>
      </c>
      <c r="I103" s="256">
        <v>0</v>
      </c>
      <c r="J103" s="257">
        <v>0.10163356670000476</v>
      </c>
      <c r="K103" s="255">
        <v>0</v>
      </c>
      <c r="L103" s="256">
        <v>0</v>
      </c>
      <c r="M103" s="256">
        <v>0</v>
      </c>
      <c r="N103" s="256">
        <v>0</v>
      </c>
      <c r="O103" s="255">
        <v>0</v>
      </c>
      <c r="P103" s="255">
        <v>0</v>
      </c>
      <c r="Q103" s="256">
        <v>0</v>
      </c>
      <c r="R103" s="258">
        <v>0</v>
      </c>
      <c r="S103" s="15"/>
      <c r="T103" s="15"/>
      <c r="U103" s="15"/>
      <c r="V103" s="15"/>
    </row>
    <row r="104" spans="1:22">
      <c r="A104" s="253"/>
      <c r="B104" s="317" t="s">
        <v>117</v>
      </c>
      <c r="C104" s="318">
        <v>-0.39644194787067655</v>
      </c>
      <c r="D104" s="319">
        <v>0</v>
      </c>
      <c r="E104" s="319">
        <v>0</v>
      </c>
      <c r="F104" s="319">
        <v>30.637461872388766</v>
      </c>
      <c r="G104" s="319">
        <v>0</v>
      </c>
      <c r="H104" s="319">
        <v>0</v>
      </c>
      <c r="I104" s="319">
        <v>0</v>
      </c>
      <c r="J104" s="320">
        <v>4.9219035440167191</v>
      </c>
      <c r="K104" s="318">
        <v>0</v>
      </c>
      <c r="L104" s="319">
        <v>0</v>
      </c>
      <c r="M104" s="319">
        <v>0</v>
      </c>
      <c r="N104" s="319">
        <v>0</v>
      </c>
      <c r="O104" s="318">
        <v>0</v>
      </c>
      <c r="P104" s="321">
        <v>0</v>
      </c>
      <c r="Q104" s="319">
        <v>0</v>
      </c>
      <c r="R104" s="322">
        <v>0</v>
      </c>
      <c r="S104" s="605"/>
      <c r="T104" s="15"/>
      <c r="U104" s="15"/>
      <c r="V104" s="15"/>
    </row>
    <row r="105" spans="1:22">
      <c r="A105" s="253"/>
      <c r="B105" s="234" t="s">
        <v>118</v>
      </c>
      <c r="C105" s="249">
        <v>2.3603029970358986E-3</v>
      </c>
      <c r="D105" s="250">
        <v>0</v>
      </c>
      <c r="E105" s="250">
        <v>0</v>
      </c>
      <c r="F105" s="250">
        <v>0</v>
      </c>
      <c r="G105" s="250">
        <v>0</v>
      </c>
      <c r="H105" s="250">
        <v>0</v>
      </c>
      <c r="I105" s="250">
        <v>0</v>
      </c>
      <c r="J105" s="251">
        <v>2.0304728325883019E-3</v>
      </c>
      <c r="K105" s="249">
        <v>0</v>
      </c>
      <c r="L105" s="250">
        <v>0</v>
      </c>
      <c r="M105" s="250">
        <v>0</v>
      </c>
      <c r="N105" s="250">
        <v>0</v>
      </c>
      <c r="O105" s="249">
        <v>0</v>
      </c>
      <c r="P105" s="249">
        <v>0</v>
      </c>
      <c r="Q105" s="250">
        <v>0</v>
      </c>
      <c r="R105" s="252">
        <v>0</v>
      </c>
      <c r="S105" s="15"/>
      <c r="T105" s="15"/>
      <c r="U105" s="15"/>
      <c r="V105" s="15"/>
    </row>
    <row r="106" spans="1:22">
      <c r="A106" s="253"/>
      <c r="B106" s="254" t="s">
        <v>119</v>
      </c>
      <c r="C106" s="255">
        <v>0</v>
      </c>
      <c r="D106" s="256">
        <v>0</v>
      </c>
      <c r="E106" s="256">
        <v>0</v>
      </c>
      <c r="F106" s="256">
        <v>0</v>
      </c>
      <c r="G106" s="256">
        <v>0</v>
      </c>
      <c r="H106" s="256">
        <v>0</v>
      </c>
      <c r="I106" s="256">
        <v>0</v>
      </c>
      <c r="J106" s="257">
        <v>0</v>
      </c>
      <c r="K106" s="255">
        <v>0</v>
      </c>
      <c r="L106" s="256">
        <v>0</v>
      </c>
      <c r="M106" s="256">
        <v>0</v>
      </c>
      <c r="N106" s="256">
        <v>0</v>
      </c>
      <c r="O106" s="255">
        <v>0</v>
      </c>
      <c r="P106" s="255">
        <v>0</v>
      </c>
      <c r="Q106" s="256">
        <v>0</v>
      </c>
      <c r="R106" s="258">
        <v>0</v>
      </c>
      <c r="S106" s="15"/>
      <c r="T106" s="15"/>
      <c r="U106" s="15"/>
      <c r="V106" s="15"/>
    </row>
    <row r="107" spans="1:22">
      <c r="A107" s="253"/>
      <c r="B107" s="317" t="s">
        <v>120</v>
      </c>
      <c r="C107" s="318">
        <v>-0.23603029970358985</v>
      </c>
      <c r="D107" s="319">
        <v>0</v>
      </c>
      <c r="E107" s="319">
        <v>0</v>
      </c>
      <c r="F107" s="319">
        <v>0</v>
      </c>
      <c r="G107" s="319">
        <v>0</v>
      </c>
      <c r="H107" s="319">
        <v>0</v>
      </c>
      <c r="I107" s="319">
        <v>0</v>
      </c>
      <c r="J107" s="320">
        <v>-0.20304728325883017</v>
      </c>
      <c r="K107" s="318">
        <v>0</v>
      </c>
      <c r="L107" s="319">
        <v>0</v>
      </c>
      <c r="M107" s="319">
        <v>0</v>
      </c>
      <c r="N107" s="319">
        <v>0</v>
      </c>
      <c r="O107" s="318">
        <v>0</v>
      </c>
      <c r="P107" s="321">
        <v>0</v>
      </c>
      <c r="Q107" s="319">
        <v>0</v>
      </c>
      <c r="R107" s="322">
        <v>0</v>
      </c>
      <c r="S107" s="15"/>
      <c r="T107" s="15"/>
      <c r="U107" s="15"/>
      <c r="V107" s="15"/>
    </row>
    <row r="108" spans="1:22">
      <c r="A108" s="253"/>
      <c r="B108" s="234" t="s">
        <v>121</v>
      </c>
      <c r="C108" s="249">
        <v>0</v>
      </c>
      <c r="D108" s="250">
        <v>0</v>
      </c>
      <c r="E108" s="250">
        <v>0</v>
      </c>
      <c r="F108" s="250">
        <v>0</v>
      </c>
      <c r="G108" s="250">
        <v>0</v>
      </c>
      <c r="H108" s="250">
        <v>0</v>
      </c>
      <c r="I108" s="250">
        <v>0</v>
      </c>
      <c r="J108" s="251">
        <v>0</v>
      </c>
      <c r="K108" s="249">
        <v>0</v>
      </c>
      <c r="L108" s="250">
        <v>0</v>
      </c>
      <c r="M108" s="250">
        <v>0</v>
      </c>
      <c r="N108" s="250">
        <v>0</v>
      </c>
      <c r="O108" s="249">
        <v>0</v>
      </c>
      <c r="P108" s="249">
        <v>0</v>
      </c>
      <c r="Q108" s="250">
        <v>0</v>
      </c>
      <c r="R108" s="252">
        <v>0</v>
      </c>
      <c r="S108" s="15"/>
      <c r="T108" s="15"/>
      <c r="U108" s="15"/>
      <c r="V108" s="15"/>
    </row>
    <row r="109" spans="1:22">
      <c r="A109" s="253"/>
      <c r="B109" s="254" t="s">
        <v>122</v>
      </c>
      <c r="C109" s="255">
        <v>0</v>
      </c>
      <c r="D109" s="256">
        <v>0</v>
      </c>
      <c r="E109" s="256">
        <v>0</v>
      </c>
      <c r="F109" s="256">
        <v>0</v>
      </c>
      <c r="G109" s="256">
        <v>0</v>
      </c>
      <c r="H109" s="256">
        <v>0</v>
      </c>
      <c r="I109" s="256">
        <v>0</v>
      </c>
      <c r="J109" s="257">
        <v>0</v>
      </c>
      <c r="K109" s="255">
        <v>0</v>
      </c>
      <c r="L109" s="256">
        <v>0</v>
      </c>
      <c r="M109" s="256">
        <v>0</v>
      </c>
      <c r="N109" s="256">
        <v>0</v>
      </c>
      <c r="O109" s="255">
        <v>0</v>
      </c>
      <c r="P109" s="255">
        <v>0</v>
      </c>
      <c r="Q109" s="256">
        <v>0</v>
      </c>
      <c r="R109" s="258">
        <v>0</v>
      </c>
      <c r="S109" s="15"/>
      <c r="T109" s="15"/>
      <c r="U109" s="15"/>
      <c r="V109" s="15"/>
    </row>
    <row r="110" spans="1:22">
      <c r="A110" s="253"/>
      <c r="B110" s="317" t="s">
        <v>123</v>
      </c>
      <c r="C110" s="318">
        <v>0</v>
      </c>
      <c r="D110" s="319">
        <v>0</v>
      </c>
      <c r="E110" s="319">
        <v>0</v>
      </c>
      <c r="F110" s="319">
        <v>0</v>
      </c>
      <c r="G110" s="319">
        <v>0</v>
      </c>
      <c r="H110" s="319">
        <v>0</v>
      </c>
      <c r="I110" s="319">
        <v>0</v>
      </c>
      <c r="J110" s="320">
        <v>0</v>
      </c>
      <c r="K110" s="318">
        <v>0</v>
      </c>
      <c r="L110" s="319">
        <v>0</v>
      </c>
      <c r="M110" s="319">
        <v>0</v>
      </c>
      <c r="N110" s="319">
        <v>0</v>
      </c>
      <c r="O110" s="318">
        <v>0</v>
      </c>
      <c r="P110" s="321">
        <v>0</v>
      </c>
      <c r="Q110" s="319">
        <v>0</v>
      </c>
      <c r="R110" s="322">
        <v>0</v>
      </c>
      <c r="S110" s="15"/>
      <c r="T110" s="15"/>
      <c r="U110" s="15"/>
      <c r="V110" s="15"/>
    </row>
    <row r="111" spans="1:22">
      <c r="A111" s="253"/>
      <c r="B111" s="234" t="s">
        <v>124</v>
      </c>
      <c r="C111" s="249">
        <v>0</v>
      </c>
      <c r="D111" s="250">
        <v>0</v>
      </c>
      <c r="E111" s="250">
        <v>0</v>
      </c>
      <c r="F111" s="250">
        <v>0</v>
      </c>
      <c r="G111" s="250">
        <v>0</v>
      </c>
      <c r="H111" s="250">
        <v>0</v>
      </c>
      <c r="I111" s="250">
        <v>0</v>
      </c>
      <c r="J111" s="251">
        <v>0</v>
      </c>
      <c r="K111" s="249">
        <v>0</v>
      </c>
      <c r="L111" s="250">
        <v>0</v>
      </c>
      <c r="M111" s="250">
        <v>0</v>
      </c>
      <c r="N111" s="250">
        <v>0</v>
      </c>
      <c r="O111" s="249">
        <v>0</v>
      </c>
      <c r="P111" s="249">
        <v>0</v>
      </c>
      <c r="Q111" s="250">
        <v>0</v>
      </c>
      <c r="R111" s="252">
        <v>0</v>
      </c>
      <c r="S111" s="15"/>
      <c r="T111" s="15"/>
      <c r="U111" s="15"/>
      <c r="V111" s="15"/>
    </row>
    <row r="112" spans="1:22">
      <c r="A112" s="253"/>
      <c r="B112" s="254" t="s">
        <v>125</v>
      </c>
      <c r="C112" s="255">
        <v>0</v>
      </c>
      <c r="D112" s="256">
        <v>0</v>
      </c>
      <c r="E112" s="256">
        <v>0</v>
      </c>
      <c r="F112" s="256">
        <v>0</v>
      </c>
      <c r="G112" s="256">
        <v>0</v>
      </c>
      <c r="H112" s="256">
        <v>0</v>
      </c>
      <c r="I112" s="256">
        <v>0</v>
      </c>
      <c r="J112" s="257">
        <v>0</v>
      </c>
      <c r="K112" s="255">
        <v>0</v>
      </c>
      <c r="L112" s="256">
        <v>0</v>
      </c>
      <c r="M112" s="256">
        <v>0</v>
      </c>
      <c r="N112" s="256">
        <v>0</v>
      </c>
      <c r="O112" s="255">
        <v>0</v>
      </c>
      <c r="P112" s="255">
        <v>0</v>
      </c>
      <c r="Q112" s="256">
        <v>0</v>
      </c>
      <c r="R112" s="258">
        <v>0</v>
      </c>
      <c r="S112" s="15"/>
      <c r="T112" s="15"/>
      <c r="U112" s="15"/>
      <c r="V112" s="15"/>
    </row>
    <row r="113" spans="1:22">
      <c r="A113" s="260"/>
      <c r="B113" s="317" t="s">
        <v>126</v>
      </c>
      <c r="C113" s="318">
        <v>0</v>
      </c>
      <c r="D113" s="319">
        <v>0</v>
      </c>
      <c r="E113" s="319">
        <v>0</v>
      </c>
      <c r="F113" s="319">
        <v>0</v>
      </c>
      <c r="G113" s="319">
        <v>0</v>
      </c>
      <c r="H113" s="319">
        <v>0</v>
      </c>
      <c r="I113" s="319">
        <v>0</v>
      </c>
      <c r="J113" s="320">
        <v>0</v>
      </c>
      <c r="K113" s="318">
        <v>0</v>
      </c>
      <c r="L113" s="319">
        <v>0</v>
      </c>
      <c r="M113" s="319">
        <v>0</v>
      </c>
      <c r="N113" s="319">
        <v>0</v>
      </c>
      <c r="O113" s="318">
        <v>0</v>
      </c>
      <c r="P113" s="321">
        <v>0</v>
      </c>
      <c r="Q113" s="319">
        <v>0</v>
      </c>
      <c r="R113" s="322">
        <v>0</v>
      </c>
      <c r="S113" s="15"/>
      <c r="T113" s="15"/>
      <c r="U113" s="15"/>
      <c r="V113" s="15"/>
    </row>
    <row r="114" spans="1:22">
      <c r="A114" s="248" t="s">
        <v>73</v>
      </c>
      <c r="B114" s="234" t="s">
        <v>91</v>
      </c>
      <c r="C114" s="249">
        <v>0.71856326751405353</v>
      </c>
      <c r="D114" s="250">
        <v>0.74551544538655112</v>
      </c>
      <c r="E114" s="250">
        <v>0.85071044073647994</v>
      </c>
      <c r="F114" s="250">
        <v>0.78510395315876991</v>
      </c>
      <c r="G114" s="250">
        <v>0</v>
      </c>
      <c r="H114" s="250">
        <v>1</v>
      </c>
      <c r="I114" s="250">
        <v>0</v>
      </c>
      <c r="J114" s="251">
        <v>0.74254212940448994</v>
      </c>
      <c r="K114" s="249">
        <v>0.74685100007184668</v>
      </c>
      <c r="L114" s="250">
        <v>0.76290011971815175</v>
      </c>
      <c r="M114" s="250">
        <v>0.6546466252348605</v>
      </c>
      <c r="N114" s="250">
        <v>0.66187874988806306</v>
      </c>
      <c r="O114" s="249">
        <v>0.75067284142118051</v>
      </c>
      <c r="P114" s="249">
        <v>0</v>
      </c>
      <c r="Q114" s="250">
        <v>0</v>
      </c>
      <c r="R114" s="252">
        <v>0</v>
      </c>
      <c r="S114" s="15"/>
      <c r="T114" s="15"/>
      <c r="U114" s="15"/>
      <c r="V114" s="15"/>
    </row>
    <row r="115" spans="1:22">
      <c r="A115" s="253"/>
      <c r="B115" s="254" t="s">
        <v>92</v>
      </c>
      <c r="C115" s="255">
        <v>0.71188523245451441</v>
      </c>
      <c r="D115" s="256">
        <v>0.75568347627139276</v>
      </c>
      <c r="E115" s="256">
        <v>0.84260927169522126</v>
      </c>
      <c r="F115" s="256">
        <v>0.7998010832989676</v>
      </c>
      <c r="G115" s="256">
        <v>0</v>
      </c>
      <c r="H115" s="256">
        <v>1</v>
      </c>
      <c r="I115" s="256">
        <v>0</v>
      </c>
      <c r="J115" s="257">
        <v>0.73772270868904588</v>
      </c>
      <c r="K115" s="255">
        <v>0.66501466060626879</v>
      </c>
      <c r="L115" s="256">
        <v>0.71075768652302462</v>
      </c>
      <c r="M115" s="256">
        <v>0.61820933009428913</v>
      </c>
      <c r="N115" s="256">
        <v>0.39794629925353736</v>
      </c>
      <c r="O115" s="255">
        <v>0.68621879609088199</v>
      </c>
      <c r="P115" s="255">
        <v>0</v>
      </c>
      <c r="Q115" s="256">
        <v>0</v>
      </c>
      <c r="R115" s="258">
        <v>0</v>
      </c>
      <c r="S115" s="15"/>
      <c r="T115" s="15"/>
      <c r="U115" s="15"/>
      <c r="V115" s="15"/>
    </row>
    <row r="116" spans="1:22">
      <c r="A116" s="253"/>
      <c r="B116" s="317" t="s">
        <v>93</v>
      </c>
      <c r="C116" s="318">
        <v>-0.66780350595391225</v>
      </c>
      <c r="D116" s="319">
        <v>1.0168030884841639</v>
      </c>
      <c r="E116" s="319">
        <v>-0.81011690412586823</v>
      </c>
      <c r="F116" s="319">
        <v>1.4697130140197689</v>
      </c>
      <c r="G116" s="319">
        <v>0</v>
      </c>
      <c r="H116" s="319">
        <v>0</v>
      </c>
      <c r="I116" s="319">
        <v>0</v>
      </c>
      <c r="J116" s="320">
        <v>-0.4819420715444056</v>
      </c>
      <c r="K116" s="318">
        <v>-8.183633946557789</v>
      </c>
      <c r="L116" s="319">
        <v>-5.2142433195127129</v>
      </c>
      <c r="M116" s="319">
        <v>-3.6437295140571369</v>
      </c>
      <c r="N116" s="331">
        <v>-26.393245063452568</v>
      </c>
      <c r="O116" s="318">
        <v>-6.4454045330298531</v>
      </c>
      <c r="P116" s="321">
        <v>0</v>
      </c>
      <c r="Q116" s="319">
        <v>0</v>
      </c>
      <c r="R116" s="322">
        <v>0</v>
      </c>
      <c r="S116" s="605"/>
      <c r="T116" s="15"/>
      <c r="U116" s="15"/>
      <c r="V116" s="15"/>
    </row>
    <row r="117" spans="1:22">
      <c r="A117" s="253"/>
      <c r="B117" s="234" t="s">
        <v>94</v>
      </c>
      <c r="C117" s="249">
        <v>8.5876857330333012E-2</v>
      </c>
      <c r="D117" s="250">
        <v>0.18952712478188816</v>
      </c>
      <c r="E117" s="250">
        <v>1.2122953596144145E-2</v>
      </c>
      <c r="F117" s="250">
        <v>2.2219080956614574E-2</v>
      </c>
      <c r="G117" s="250">
        <v>0</v>
      </c>
      <c r="H117" s="250">
        <v>0</v>
      </c>
      <c r="I117" s="250">
        <v>0</v>
      </c>
      <c r="J117" s="251">
        <v>8.1468315461122556E-2</v>
      </c>
      <c r="K117" s="249">
        <v>1.7348107412146079E-2</v>
      </c>
      <c r="L117" s="250">
        <v>2.3758222927800467E-2</v>
      </c>
      <c r="M117" s="250">
        <v>6.2581297875415526E-2</v>
      </c>
      <c r="N117" s="250">
        <v>5.4678964807020683E-2</v>
      </c>
      <c r="O117" s="249">
        <v>2.3133413561634963E-2</v>
      </c>
      <c r="P117" s="249">
        <v>0</v>
      </c>
      <c r="Q117" s="250">
        <v>0</v>
      </c>
      <c r="R117" s="252">
        <v>0</v>
      </c>
      <c r="S117" s="15"/>
      <c r="T117" s="15"/>
      <c r="U117" s="15"/>
      <c r="V117" s="15"/>
    </row>
    <row r="118" spans="1:22">
      <c r="A118" s="253"/>
      <c r="B118" s="254" t="s">
        <v>95</v>
      </c>
      <c r="C118" s="255">
        <v>8.4510537417534115E-2</v>
      </c>
      <c r="D118" s="256">
        <v>0.16966133435165931</v>
      </c>
      <c r="E118" s="256">
        <v>9.1371270474235912E-3</v>
      </c>
      <c r="F118" s="256">
        <v>2.6396315535948824E-2</v>
      </c>
      <c r="G118" s="256">
        <v>0</v>
      </c>
      <c r="H118" s="256">
        <v>0</v>
      </c>
      <c r="I118" s="256">
        <v>0</v>
      </c>
      <c r="J118" s="257">
        <v>7.885392245422948E-2</v>
      </c>
      <c r="K118" s="255">
        <v>1.4747855207601425E-2</v>
      </c>
      <c r="L118" s="256">
        <v>2.4531887385381871E-2</v>
      </c>
      <c r="M118" s="256">
        <v>5.4094783217359083E-2</v>
      </c>
      <c r="N118" s="256">
        <v>2.6293311546031865E-2</v>
      </c>
      <c r="O118" s="255">
        <v>2.1905841472432824E-2</v>
      </c>
      <c r="P118" s="255">
        <v>0</v>
      </c>
      <c r="Q118" s="256">
        <v>0</v>
      </c>
      <c r="R118" s="258">
        <v>0</v>
      </c>
      <c r="S118" s="15"/>
      <c r="T118" s="15"/>
      <c r="U118" s="15"/>
      <c r="V118" s="15"/>
    </row>
    <row r="119" spans="1:22">
      <c r="A119" s="253"/>
      <c r="B119" s="317" t="s">
        <v>96</v>
      </c>
      <c r="C119" s="318">
        <v>-0.13663199127988968</v>
      </c>
      <c r="D119" s="319">
        <v>-1.9865790430228847</v>
      </c>
      <c r="E119" s="319">
        <v>-0.29858265487205538</v>
      </c>
      <c r="F119" s="319">
        <v>0.41772345793342491</v>
      </c>
      <c r="G119" s="319">
        <v>0</v>
      </c>
      <c r="H119" s="319">
        <v>0</v>
      </c>
      <c r="I119" s="319">
        <v>0</v>
      </c>
      <c r="J119" s="320">
        <v>-0.2614393006893076</v>
      </c>
      <c r="K119" s="318">
        <v>-0.26002522045446547</v>
      </c>
      <c r="L119" s="319">
        <v>7.7366445758140362E-2</v>
      </c>
      <c r="M119" s="319">
        <v>-0.84865146580564432</v>
      </c>
      <c r="N119" s="319">
        <v>-2.8385653260988817</v>
      </c>
      <c r="O119" s="318">
        <v>-0.12275720892021384</v>
      </c>
      <c r="P119" s="321">
        <v>0</v>
      </c>
      <c r="Q119" s="319">
        <v>0</v>
      </c>
      <c r="R119" s="322">
        <v>0</v>
      </c>
      <c r="S119" s="15"/>
      <c r="T119" s="15"/>
      <c r="U119" s="15"/>
      <c r="V119" s="15"/>
    </row>
    <row r="120" spans="1:22">
      <c r="A120" s="253"/>
      <c r="B120" s="234" t="s">
        <v>97</v>
      </c>
      <c r="C120" s="249">
        <v>0.161656692704088</v>
      </c>
      <c r="D120" s="250">
        <v>5.7634133295921854E-2</v>
      </c>
      <c r="E120" s="250">
        <v>0.12893746926002791</v>
      </c>
      <c r="F120" s="250">
        <v>0.19267696588461553</v>
      </c>
      <c r="G120" s="250">
        <v>0</v>
      </c>
      <c r="H120" s="250">
        <v>0</v>
      </c>
      <c r="I120" s="250">
        <v>0</v>
      </c>
      <c r="J120" s="251">
        <v>0.14921884554149728</v>
      </c>
      <c r="K120" s="249">
        <v>0.18280162858715734</v>
      </c>
      <c r="L120" s="250">
        <v>0.14431269975658034</v>
      </c>
      <c r="M120" s="250">
        <v>0.19453884748002395</v>
      </c>
      <c r="N120" s="250">
        <v>0.14524939554043162</v>
      </c>
      <c r="O120" s="249">
        <v>0.16244565474135139</v>
      </c>
      <c r="P120" s="249">
        <v>0</v>
      </c>
      <c r="Q120" s="250">
        <v>0</v>
      </c>
      <c r="R120" s="252">
        <v>0</v>
      </c>
      <c r="S120" s="15"/>
      <c r="T120" s="15"/>
      <c r="U120" s="15"/>
      <c r="V120" s="15"/>
    </row>
    <row r="121" spans="1:22">
      <c r="A121" s="253"/>
      <c r="B121" s="254" t="s">
        <v>98</v>
      </c>
      <c r="C121" s="255">
        <v>0.18572903180063291</v>
      </c>
      <c r="D121" s="256">
        <v>7.2338942464026473E-2</v>
      </c>
      <c r="E121" s="256">
        <v>0.13304687804434515</v>
      </c>
      <c r="F121" s="256">
        <v>0.17380260116508353</v>
      </c>
      <c r="G121" s="256">
        <v>0</v>
      </c>
      <c r="H121" s="256">
        <v>0</v>
      </c>
      <c r="I121" s="256">
        <v>0</v>
      </c>
      <c r="J121" s="257">
        <v>0.16799330259628822</v>
      </c>
      <c r="K121" s="255">
        <v>0.27655221895399662</v>
      </c>
      <c r="L121" s="256">
        <v>0.16128542397419066</v>
      </c>
      <c r="M121" s="256">
        <v>0.20319718367851114</v>
      </c>
      <c r="N121" s="256">
        <v>0.17114791844616928</v>
      </c>
      <c r="O121" s="255">
        <v>0.21034154886497078</v>
      </c>
      <c r="P121" s="255">
        <v>0</v>
      </c>
      <c r="Q121" s="256">
        <v>0</v>
      </c>
      <c r="R121" s="258">
        <v>0</v>
      </c>
      <c r="S121" s="15"/>
      <c r="T121" s="15"/>
      <c r="U121" s="15"/>
      <c r="V121" s="15"/>
    </row>
    <row r="122" spans="1:22">
      <c r="A122" s="253"/>
      <c r="B122" s="317" t="s">
        <v>99</v>
      </c>
      <c r="C122" s="318">
        <v>2.407233909654491</v>
      </c>
      <c r="D122" s="319">
        <v>1.470480916810462</v>
      </c>
      <c r="E122" s="319">
        <v>0.41094087843172311</v>
      </c>
      <c r="F122" s="319">
        <v>-1.8874364719531993</v>
      </c>
      <c r="G122" s="319">
        <v>0</v>
      </c>
      <c r="H122" s="319">
        <v>0</v>
      </c>
      <c r="I122" s="319">
        <v>0</v>
      </c>
      <c r="J122" s="320">
        <v>1.8774457054790945</v>
      </c>
      <c r="K122" s="318">
        <v>9.3750590366839273</v>
      </c>
      <c r="L122" s="319">
        <v>1.6972724217610313</v>
      </c>
      <c r="M122" s="319">
        <v>0.86583361984871876</v>
      </c>
      <c r="N122" s="319">
        <v>2.589852290573766</v>
      </c>
      <c r="O122" s="318">
        <v>4.7895894123619387</v>
      </c>
      <c r="P122" s="321">
        <v>0</v>
      </c>
      <c r="Q122" s="319">
        <v>0</v>
      </c>
      <c r="R122" s="322">
        <v>0</v>
      </c>
      <c r="S122" s="15"/>
      <c r="T122" s="15"/>
      <c r="U122" s="15"/>
      <c r="V122" s="15"/>
    </row>
    <row r="123" spans="1:22">
      <c r="A123" s="253"/>
      <c r="B123" s="234" t="s">
        <v>100</v>
      </c>
      <c r="C123" s="249">
        <v>4.7429674965855878E-4</v>
      </c>
      <c r="D123" s="250">
        <v>3.2793497417731286E-3</v>
      </c>
      <c r="E123" s="250">
        <v>4.7401168040286798E-4</v>
      </c>
      <c r="F123" s="250">
        <v>0</v>
      </c>
      <c r="G123" s="250">
        <v>0</v>
      </c>
      <c r="H123" s="250">
        <v>0</v>
      </c>
      <c r="I123" s="250">
        <v>0</v>
      </c>
      <c r="J123" s="251">
        <v>6.8366445295073774E-4</v>
      </c>
      <c r="K123" s="249">
        <v>8.029218265793532E-4</v>
      </c>
      <c r="L123" s="250">
        <v>6.0963553680880506E-4</v>
      </c>
      <c r="M123" s="250">
        <v>1.0034480622715917E-2</v>
      </c>
      <c r="N123" s="250">
        <v>1.9700904450613414E-3</v>
      </c>
      <c r="O123" s="249">
        <v>1.1407938510899734E-3</v>
      </c>
      <c r="P123" s="249">
        <v>0</v>
      </c>
      <c r="Q123" s="250">
        <v>0</v>
      </c>
      <c r="R123" s="252">
        <v>0</v>
      </c>
      <c r="S123" s="15"/>
      <c r="T123" s="15"/>
      <c r="U123" s="15"/>
      <c r="V123" s="15"/>
    </row>
    <row r="124" spans="1:22">
      <c r="A124" s="253"/>
      <c r="B124" s="254" t="s">
        <v>101</v>
      </c>
      <c r="C124" s="255">
        <v>0</v>
      </c>
      <c r="D124" s="256">
        <v>0</v>
      </c>
      <c r="E124" s="256">
        <v>0</v>
      </c>
      <c r="F124" s="256">
        <v>0</v>
      </c>
      <c r="G124" s="256">
        <v>0</v>
      </c>
      <c r="H124" s="256">
        <v>0</v>
      </c>
      <c r="I124" s="256">
        <v>0</v>
      </c>
      <c r="J124" s="257">
        <v>0</v>
      </c>
      <c r="K124" s="255">
        <v>1.2391205678235196E-4</v>
      </c>
      <c r="L124" s="256">
        <v>7.7120809098642218E-4</v>
      </c>
      <c r="M124" s="256">
        <v>1.0575616585004324E-2</v>
      </c>
      <c r="N124" s="256">
        <v>0</v>
      </c>
      <c r="O124" s="255">
        <v>9.5424088474402053E-4</v>
      </c>
      <c r="P124" s="255">
        <v>0</v>
      </c>
      <c r="Q124" s="256">
        <v>0</v>
      </c>
      <c r="R124" s="258">
        <v>0</v>
      </c>
      <c r="S124" s="15"/>
      <c r="T124" s="15"/>
      <c r="U124" s="15"/>
      <c r="V124" s="15"/>
    </row>
    <row r="125" spans="1:22">
      <c r="A125" s="253"/>
      <c r="B125" s="317" t="s">
        <v>102</v>
      </c>
      <c r="C125" s="318">
        <v>-4.7429674965855879E-2</v>
      </c>
      <c r="D125" s="319">
        <v>-0.32793497417731288</v>
      </c>
      <c r="E125" s="319">
        <v>-4.7401168040286795E-2</v>
      </c>
      <c r="F125" s="319">
        <v>0</v>
      </c>
      <c r="G125" s="319">
        <v>0</v>
      </c>
      <c r="H125" s="319">
        <v>0</v>
      </c>
      <c r="I125" s="319">
        <v>0</v>
      </c>
      <c r="J125" s="320">
        <v>-6.8366445295073769E-2</v>
      </c>
      <c r="K125" s="318">
        <v>-6.7900976979700128E-2</v>
      </c>
      <c r="L125" s="319">
        <v>1.6157255417761713E-2</v>
      </c>
      <c r="M125" s="319">
        <v>5.4113596228840682E-2</v>
      </c>
      <c r="N125" s="319">
        <v>-0.19700904450613413</v>
      </c>
      <c r="O125" s="318">
        <v>-1.8655296634595288E-2</v>
      </c>
      <c r="P125" s="321">
        <v>0</v>
      </c>
      <c r="Q125" s="319">
        <v>0</v>
      </c>
      <c r="R125" s="322">
        <v>0</v>
      </c>
      <c r="S125" s="15"/>
      <c r="T125" s="15"/>
      <c r="U125" s="15"/>
      <c r="V125" s="15"/>
    </row>
    <row r="126" spans="1:22">
      <c r="A126" s="253"/>
      <c r="B126" s="234" t="s">
        <v>103</v>
      </c>
      <c r="C126" s="249">
        <v>3.2122772325707601E-2</v>
      </c>
      <c r="D126" s="250">
        <v>4.0439467938656872E-3</v>
      </c>
      <c r="E126" s="250">
        <v>7.755124726945152E-3</v>
      </c>
      <c r="F126" s="250">
        <v>0</v>
      </c>
      <c r="G126" s="250">
        <v>0</v>
      </c>
      <c r="H126" s="250">
        <v>0</v>
      </c>
      <c r="I126" s="250">
        <v>0</v>
      </c>
      <c r="J126" s="251">
        <v>2.5122192640939945E-2</v>
      </c>
      <c r="K126" s="249">
        <v>4.4892965167704794E-2</v>
      </c>
      <c r="L126" s="250">
        <v>6.8032573766443144E-2</v>
      </c>
      <c r="M126" s="250">
        <v>7.7015671133318198E-2</v>
      </c>
      <c r="N126" s="250">
        <v>0.1362227993194233</v>
      </c>
      <c r="O126" s="249">
        <v>5.9353228718355314E-2</v>
      </c>
      <c r="P126" s="249">
        <v>0</v>
      </c>
      <c r="Q126" s="250">
        <v>0</v>
      </c>
      <c r="R126" s="252">
        <v>0</v>
      </c>
      <c r="S126" s="15"/>
      <c r="T126" s="15"/>
      <c r="U126" s="15"/>
      <c r="V126" s="15"/>
    </row>
    <row r="127" spans="1:22">
      <c r="A127" s="253"/>
      <c r="B127" s="254" t="s">
        <v>104</v>
      </c>
      <c r="C127" s="255">
        <v>1.6733790902004147E-2</v>
      </c>
      <c r="D127" s="256">
        <v>2.316246912921456E-3</v>
      </c>
      <c r="E127" s="256">
        <v>1.5206723213009988E-2</v>
      </c>
      <c r="F127" s="256">
        <v>0</v>
      </c>
      <c r="G127" s="256">
        <v>0</v>
      </c>
      <c r="H127" s="256">
        <v>0</v>
      </c>
      <c r="I127" s="256">
        <v>0</v>
      </c>
      <c r="J127" s="257">
        <v>1.4587251610387937E-2</v>
      </c>
      <c r="K127" s="255">
        <v>3.850091472158771E-2</v>
      </c>
      <c r="L127" s="256">
        <v>0.10240707056483891</v>
      </c>
      <c r="M127" s="256">
        <v>0.1012475810104171</v>
      </c>
      <c r="N127" s="256">
        <v>0.40461247075426154</v>
      </c>
      <c r="O127" s="255">
        <v>7.7795983128255419E-2</v>
      </c>
      <c r="P127" s="255">
        <v>0</v>
      </c>
      <c r="Q127" s="256">
        <v>0</v>
      </c>
      <c r="R127" s="258">
        <v>0</v>
      </c>
      <c r="S127" s="15"/>
      <c r="T127" s="15"/>
      <c r="U127" s="15"/>
      <c r="V127" s="15"/>
    </row>
    <row r="128" spans="1:22">
      <c r="A128" s="253"/>
      <c r="B128" s="317" t="s">
        <v>105</v>
      </c>
      <c r="C128" s="318">
        <v>-1.5388981423703454</v>
      </c>
      <c r="D128" s="319">
        <v>-0.17276998809442312</v>
      </c>
      <c r="E128" s="319">
        <v>0.74515984860648365</v>
      </c>
      <c r="F128" s="319">
        <v>0</v>
      </c>
      <c r="G128" s="319">
        <v>0</v>
      </c>
      <c r="H128" s="319">
        <v>0</v>
      </c>
      <c r="I128" s="319">
        <v>0</v>
      </c>
      <c r="J128" s="320">
        <v>-1.0534941030552007</v>
      </c>
      <c r="K128" s="318">
        <v>-0.63920504461170835</v>
      </c>
      <c r="L128" s="319">
        <v>3.4374496798395771</v>
      </c>
      <c r="M128" s="319">
        <v>2.4231909877098903</v>
      </c>
      <c r="N128" s="331">
        <v>26.838967143483828</v>
      </c>
      <c r="O128" s="318">
        <v>1.8442754409900106</v>
      </c>
      <c r="P128" s="321">
        <v>0</v>
      </c>
      <c r="Q128" s="319">
        <v>0</v>
      </c>
      <c r="R128" s="322">
        <v>0</v>
      </c>
      <c r="S128" s="15"/>
      <c r="T128" s="15"/>
      <c r="U128" s="15"/>
      <c r="V128" s="15"/>
    </row>
    <row r="129" spans="1:22">
      <c r="A129" s="253"/>
      <c r="B129" s="234" t="s">
        <v>106</v>
      </c>
      <c r="C129" s="249">
        <v>1.3061133761592921E-3</v>
      </c>
      <c r="D129" s="250">
        <v>0</v>
      </c>
      <c r="E129" s="250">
        <v>0</v>
      </c>
      <c r="F129" s="250">
        <v>0</v>
      </c>
      <c r="G129" s="250">
        <v>0</v>
      </c>
      <c r="H129" s="250">
        <v>0</v>
      </c>
      <c r="I129" s="250">
        <v>0</v>
      </c>
      <c r="J129" s="251">
        <v>9.6485249899955043E-4</v>
      </c>
      <c r="K129" s="249">
        <v>7.3033769345657966E-3</v>
      </c>
      <c r="L129" s="250">
        <v>3.8674829421550571E-4</v>
      </c>
      <c r="M129" s="250">
        <v>1.183077653665889E-3</v>
      </c>
      <c r="N129" s="250">
        <v>0</v>
      </c>
      <c r="O129" s="249">
        <v>3.2540677063877931E-3</v>
      </c>
      <c r="P129" s="249">
        <v>0</v>
      </c>
      <c r="Q129" s="250">
        <v>0</v>
      </c>
      <c r="R129" s="252">
        <v>0</v>
      </c>
      <c r="S129" s="15"/>
      <c r="T129" s="15"/>
      <c r="U129" s="15"/>
      <c r="V129" s="15"/>
    </row>
    <row r="130" spans="1:22">
      <c r="A130" s="253"/>
      <c r="B130" s="254" t="s">
        <v>107</v>
      </c>
      <c r="C130" s="255">
        <v>1.1414074253144669E-3</v>
      </c>
      <c r="D130" s="256">
        <v>0</v>
      </c>
      <c r="E130" s="256">
        <v>0</v>
      </c>
      <c r="F130" s="256">
        <v>0</v>
      </c>
      <c r="G130" s="256">
        <v>0</v>
      </c>
      <c r="H130" s="256">
        <v>0</v>
      </c>
      <c r="I130" s="256">
        <v>0</v>
      </c>
      <c r="J130" s="257">
        <v>8.4281465004847262E-4</v>
      </c>
      <c r="K130" s="255">
        <v>5.0604384537631672E-3</v>
      </c>
      <c r="L130" s="256">
        <v>2.4672346157751158E-4</v>
      </c>
      <c r="M130" s="256">
        <v>1.2675505414419237E-2</v>
      </c>
      <c r="N130" s="256">
        <v>0</v>
      </c>
      <c r="O130" s="255">
        <v>2.7835895587150035E-3</v>
      </c>
      <c r="P130" s="255">
        <v>0</v>
      </c>
      <c r="Q130" s="256">
        <v>0</v>
      </c>
      <c r="R130" s="258">
        <v>0</v>
      </c>
      <c r="S130" s="15"/>
      <c r="T130" s="15"/>
      <c r="U130" s="15"/>
      <c r="V130" s="15"/>
    </row>
    <row r="131" spans="1:22">
      <c r="A131" s="253"/>
      <c r="B131" s="317" t="s">
        <v>108</v>
      </c>
      <c r="C131" s="318">
        <v>-1.6470595084482519E-2</v>
      </c>
      <c r="D131" s="319">
        <v>0</v>
      </c>
      <c r="E131" s="319">
        <v>0</v>
      </c>
      <c r="F131" s="319">
        <v>0</v>
      </c>
      <c r="G131" s="319">
        <v>0</v>
      </c>
      <c r="H131" s="319">
        <v>0</v>
      </c>
      <c r="I131" s="319">
        <v>0</v>
      </c>
      <c r="J131" s="320">
        <v>-1.2203784895107782E-2</v>
      </c>
      <c r="K131" s="318">
        <v>-0.22429384808026293</v>
      </c>
      <c r="L131" s="319">
        <v>-1.4002483263799412E-2</v>
      </c>
      <c r="M131" s="319">
        <v>1.1492427760753348</v>
      </c>
      <c r="N131" s="319">
        <v>0</v>
      </c>
      <c r="O131" s="318">
        <v>-4.704781476727897E-2</v>
      </c>
      <c r="P131" s="321">
        <v>0</v>
      </c>
      <c r="Q131" s="319">
        <v>0</v>
      </c>
      <c r="R131" s="322">
        <v>0</v>
      </c>
      <c r="S131" s="15"/>
      <c r="T131" s="15"/>
      <c r="U131" s="15"/>
      <c r="V131" s="15"/>
    </row>
    <row r="132" spans="1:22">
      <c r="A132" s="253"/>
      <c r="B132" s="234" t="s">
        <v>109</v>
      </c>
      <c r="C132" s="249">
        <v>0.6970443985915048</v>
      </c>
      <c r="D132" s="250">
        <v>0.57320679543176734</v>
      </c>
      <c r="E132" s="250">
        <v>0.58295548047128032</v>
      </c>
      <c r="F132" s="250">
        <v>0.52134728798072927</v>
      </c>
      <c r="G132" s="250">
        <v>0</v>
      </c>
      <c r="H132" s="250">
        <v>0</v>
      </c>
      <c r="I132" s="250">
        <v>0</v>
      </c>
      <c r="J132" s="251">
        <v>0.67547666685119134</v>
      </c>
      <c r="K132" s="249">
        <v>0</v>
      </c>
      <c r="L132" s="250">
        <v>0</v>
      </c>
      <c r="M132" s="250">
        <v>0</v>
      </c>
      <c r="N132" s="250">
        <v>0</v>
      </c>
      <c r="O132" s="249">
        <v>0</v>
      </c>
      <c r="P132" s="249">
        <v>0</v>
      </c>
      <c r="Q132" s="250">
        <v>0</v>
      </c>
      <c r="R132" s="252">
        <v>0</v>
      </c>
      <c r="S132" s="15"/>
      <c r="T132" s="15"/>
      <c r="U132" s="15"/>
      <c r="V132" s="15"/>
    </row>
    <row r="133" spans="1:22">
      <c r="A133" s="253"/>
      <c r="B133" s="254" t="s">
        <v>110</v>
      </c>
      <c r="C133" s="255">
        <v>0.72715458115260301</v>
      </c>
      <c r="D133" s="256">
        <v>0.60011711092441256</v>
      </c>
      <c r="E133" s="256">
        <v>0.57868828850845078</v>
      </c>
      <c r="F133" s="256">
        <v>0.54012435838584483</v>
      </c>
      <c r="G133" s="256">
        <v>0</v>
      </c>
      <c r="H133" s="256">
        <v>0</v>
      </c>
      <c r="I133" s="256">
        <v>0</v>
      </c>
      <c r="J133" s="257">
        <v>0.70169678394467783</v>
      </c>
      <c r="K133" s="255">
        <v>0</v>
      </c>
      <c r="L133" s="256">
        <v>0</v>
      </c>
      <c r="M133" s="256">
        <v>0</v>
      </c>
      <c r="N133" s="256">
        <v>0</v>
      </c>
      <c r="O133" s="255">
        <v>0</v>
      </c>
      <c r="P133" s="255">
        <v>0</v>
      </c>
      <c r="Q133" s="256">
        <v>0</v>
      </c>
      <c r="R133" s="258">
        <v>0</v>
      </c>
      <c r="S133" s="15"/>
      <c r="T133" s="15"/>
      <c r="U133" s="15"/>
      <c r="V133" s="15"/>
    </row>
    <row r="134" spans="1:22">
      <c r="A134" s="253"/>
      <c r="B134" s="317" t="s">
        <v>111</v>
      </c>
      <c r="C134" s="318">
        <v>3.0110182561098209</v>
      </c>
      <c r="D134" s="331">
        <v>2.691031549264522</v>
      </c>
      <c r="E134" s="319">
        <v>-0.42671919628295418</v>
      </c>
      <c r="F134" s="319">
        <v>1.8777070405115559</v>
      </c>
      <c r="G134" s="319">
        <v>0</v>
      </c>
      <c r="H134" s="319">
        <v>0</v>
      </c>
      <c r="I134" s="319">
        <v>0</v>
      </c>
      <c r="J134" s="320">
        <v>2.6220117093486484</v>
      </c>
      <c r="K134" s="318">
        <v>0</v>
      </c>
      <c r="L134" s="319">
        <v>0</v>
      </c>
      <c r="M134" s="319">
        <v>0</v>
      </c>
      <c r="N134" s="319">
        <v>0</v>
      </c>
      <c r="O134" s="318">
        <v>0</v>
      </c>
      <c r="P134" s="321">
        <v>0</v>
      </c>
      <c r="Q134" s="319">
        <v>0</v>
      </c>
      <c r="R134" s="322">
        <v>0</v>
      </c>
      <c r="S134" s="15"/>
      <c r="T134" s="15"/>
      <c r="U134" s="15"/>
      <c r="V134" s="15"/>
    </row>
    <row r="135" spans="1:22">
      <c r="A135" s="253"/>
      <c r="B135" s="234" t="s">
        <v>112</v>
      </c>
      <c r="C135" s="249">
        <v>7.9522007019517477E-2</v>
      </c>
      <c r="D135" s="250">
        <v>0.1835459483537287</v>
      </c>
      <c r="E135" s="250">
        <v>0.18734791057579525</v>
      </c>
      <c r="F135" s="250">
        <v>5.714760362156325E-2</v>
      </c>
      <c r="G135" s="250">
        <v>0</v>
      </c>
      <c r="H135" s="250">
        <v>0</v>
      </c>
      <c r="I135" s="250">
        <v>0</v>
      </c>
      <c r="J135" s="251">
        <v>9.5485998529074509E-2</v>
      </c>
      <c r="K135" s="249">
        <v>0</v>
      </c>
      <c r="L135" s="250">
        <v>0</v>
      </c>
      <c r="M135" s="250">
        <v>0</v>
      </c>
      <c r="N135" s="250">
        <v>0</v>
      </c>
      <c r="O135" s="249">
        <v>0</v>
      </c>
      <c r="P135" s="249">
        <v>0</v>
      </c>
      <c r="Q135" s="250">
        <v>0</v>
      </c>
      <c r="R135" s="252">
        <v>0</v>
      </c>
      <c r="S135" s="15"/>
      <c r="T135" s="15"/>
      <c r="U135" s="15"/>
      <c r="V135" s="15"/>
    </row>
    <row r="136" spans="1:22">
      <c r="A136" s="253"/>
      <c r="B136" s="254" t="s">
        <v>113</v>
      </c>
      <c r="C136" s="255">
        <v>6.8040256918973974E-2</v>
      </c>
      <c r="D136" s="256">
        <v>0.1594999872705517</v>
      </c>
      <c r="E136" s="256">
        <v>0.18970896919498498</v>
      </c>
      <c r="F136" s="256">
        <v>6.8397112214664268E-2</v>
      </c>
      <c r="G136" s="256">
        <v>0</v>
      </c>
      <c r="H136" s="256">
        <v>0</v>
      </c>
      <c r="I136" s="256">
        <v>0</v>
      </c>
      <c r="J136" s="257">
        <v>8.5135253737005562E-2</v>
      </c>
      <c r="K136" s="255">
        <v>0</v>
      </c>
      <c r="L136" s="256">
        <v>0</v>
      </c>
      <c r="M136" s="256">
        <v>0</v>
      </c>
      <c r="N136" s="256">
        <v>0</v>
      </c>
      <c r="O136" s="255">
        <v>0</v>
      </c>
      <c r="P136" s="255">
        <v>0</v>
      </c>
      <c r="Q136" s="256">
        <v>0</v>
      </c>
      <c r="R136" s="258">
        <v>0</v>
      </c>
      <c r="S136" s="15"/>
      <c r="T136" s="15"/>
      <c r="U136" s="15"/>
      <c r="V136" s="15"/>
    </row>
    <row r="137" spans="1:22">
      <c r="A137" s="253"/>
      <c r="B137" s="317" t="s">
        <v>114</v>
      </c>
      <c r="C137" s="318">
        <v>-1.1481750100543504</v>
      </c>
      <c r="D137" s="319">
        <v>-2.4045961083176999</v>
      </c>
      <c r="E137" s="319">
        <v>0.23610586191897265</v>
      </c>
      <c r="F137" s="319">
        <v>1.1249508593101019</v>
      </c>
      <c r="G137" s="319">
        <v>0</v>
      </c>
      <c r="H137" s="319">
        <v>0</v>
      </c>
      <c r="I137" s="319">
        <v>0</v>
      </c>
      <c r="J137" s="320">
        <v>-1.0350744792068947</v>
      </c>
      <c r="K137" s="318">
        <v>0</v>
      </c>
      <c r="L137" s="319">
        <v>0</v>
      </c>
      <c r="M137" s="319">
        <v>0</v>
      </c>
      <c r="N137" s="319">
        <v>0</v>
      </c>
      <c r="O137" s="318">
        <v>0</v>
      </c>
      <c r="P137" s="321">
        <v>0</v>
      </c>
      <c r="Q137" s="319">
        <v>0</v>
      </c>
      <c r="R137" s="322">
        <v>0</v>
      </c>
      <c r="S137" s="15"/>
      <c r="T137" s="15"/>
      <c r="U137" s="15"/>
      <c r="V137" s="15"/>
    </row>
    <row r="138" spans="1:22">
      <c r="A138" s="253"/>
      <c r="B138" s="234" t="s">
        <v>115</v>
      </c>
      <c r="C138" s="249">
        <v>0.17716867982754447</v>
      </c>
      <c r="D138" s="250">
        <v>0.2187851866516537</v>
      </c>
      <c r="E138" s="250">
        <v>0.20732305106703314</v>
      </c>
      <c r="F138" s="250">
        <v>0.42150510839770744</v>
      </c>
      <c r="G138" s="250">
        <v>0</v>
      </c>
      <c r="H138" s="250">
        <v>0</v>
      </c>
      <c r="I138" s="250">
        <v>0</v>
      </c>
      <c r="J138" s="251">
        <v>0.18720532063803372</v>
      </c>
      <c r="K138" s="249">
        <v>0</v>
      </c>
      <c r="L138" s="250">
        <v>0</v>
      </c>
      <c r="M138" s="250">
        <v>0</v>
      </c>
      <c r="N138" s="250">
        <v>0</v>
      </c>
      <c r="O138" s="249">
        <v>0</v>
      </c>
      <c r="P138" s="249">
        <v>0</v>
      </c>
      <c r="Q138" s="250">
        <v>0</v>
      </c>
      <c r="R138" s="252">
        <v>0</v>
      </c>
      <c r="S138" s="15"/>
      <c r="T138" s="15"/>
      <c r="U138" s="15"/>
      <c r="V138" s="15"/>
    </row>
    <row r="139" spans="1:22">
      <c r="A139" s="253"/>
      <c r="B139" s="254" t="s">
        <v>116</v>
      </c>
      <c r="C139" s="255">
        <v>0.1972616503492112</v>
      </c>
      <c r="D139" s="256">
        <v>0.22552763563227168</v>
      </c>
      <c r="E139" s="256">
        <v>0.2044677963438955</v>
      </c>
      <c r="F139" s="256">
        <v>0.3914785293994909</v>
      </c>
      <c r="G139" s="256">
        <v>0</v>
      </c>
      <c r="H139" s="256">
        <v>0</v>
      </c>
      <c r="I139" s="256">
        <v>0</v>
      </c>
      <c r="J139" s="257">
        <v>0.20349031203627421</v>
      </c>
      <c r="K139" s="255">
        <v>0</v>
      </c>
      <c r="L139" s="256">
        <v>0</v>
      </c>
      <c r="M139" s="256">
        <v>0</v>
      </c>
      <c r="N139" s="256">
        <v>0</v>
      </c>
      <c r="O139" s="255">
        <v>0</v>
      </c>
      <c r="P139" s="255">
        <v>0</v>
      </c>
      <c r="Q139" s="256">
        <v>0</v>
      </c>
      <c r="R139" s="258">
        <v>0</v>
      </c>
      <c r="S139" s="15"/>
      <c r="T139" s="15"/>
      <c r="U139" s="15"/>
      <c r="V139" s="15"/>
    </row>
    <row r="140" spans="1:22">
      <c r="A140" s="253"/>
      <c r="B140" s="317" t="s">
        <v>117</v>
      </c>
      <c r="C140" s="318">
        <v>2.0092970521666724</v>
      </c>
      <c r="D140" s="331">
        <v>0.67424489806179877</v>
      </c>
      <c r="E140" s="319">
        <v>-0.28552547231376346</v>
      </c>
      <c r="F140" s="319">
        <v>-3.0026578998216538</v>
      </c>
      <c r="G140" s="319">
        <v>0</v>
      </c>
      <c r="H140" s="319">
        <v>0</v>
      </c>
      <c r="I140" s="319">
        <v>0</v>
      </c>
      <c r="J140" s="320">
        <v>1.6284991398240494</v>
      </c>
      <c r="K140" s="318">
        <v>0</v>
      </c>
      <c r="L140" s="319">
        <v>0</v>
      </c>
      <c r="M140" s="319">
        <v>0</v>
      </c>
      <c r="N140" s="319">
        <v>0</v>
      </c>
      <c r="O140" s="318">
        <v>0</v>
      </c>
      <c r="P140" s="321">
        <v>0</v>
      </c>
      <c r="Q140" s="319">
        <v>0</v>
      </c>
      <c r="R140" s="322">
        <v>0</v>
      </c>
      <c r="S140" s="15"/>
      <c r="T140" s="15"/>
      <c r="U140" s="15"/>
      <c r="V140" s="15"/>
    </row>
    <row r="141" spans="1:22">
      <c r="A141" s="253"/>
      <c r="B141" s="234" t="s">
        <v>118</v>
      </c>
      <c r="C141" s="249">
        <v>6.3231139949357688E-4</v>
      </c>
      <c r="D141" s="250">
        <v>9.7625558346428436E-3</v>
      </c>
      <c r="E141" s="250">
        <v>2.0220234239596646E-3</v>
      </c>
      <c r="F141" s="250">
        <v>0</v>
      </c>
      <c r="G141" s="250">
        <v>0</v>
      </c>
      <c r="H141" s="250">
        <v>0</v>
      </c>
      <c r="I141" s="250">
        <v>0</v>
      </c>
      <c r="J141" s="251">
        <v>1.3293686882666013E-3</v>
      </c>
      <c r="K141" s="249">
        <v>0</v>
      </c>
      <c r="L141" s="250">
        <v>0</v>
      </c>
      <c r="M141" s="250">
        <v>0</v>
      </c>
      <c r="N141" s="250">
        <v>0</v>
      </c>
      <c r="O141" s="249">
        <v>0</v>
      </c>
      <c r="P141" s="249">
        <v>0</v>
      </c>
      <c r="Q141" s="250">
        <v>0</v>
      </c>
      <c r="R141" s="252">
        <v>0</v>
      </c>
      <c r="S141" s="15"/>
      <c r="T141" s="15"/>
      <c r="U141" s="15"/>
      <c r="V141" s="15"/>
    </row>
    <row r="142" spans="1:22">
      <c r="A142" s="253"/>
      <c r="B142" s="254" t="s">
        <v>119</v>
      </c>
      <c r="C142" s="255">
        <v>0</v>
      </c>
      <c r="D142" s="256">
        <v>0</v>
      </c>
      <c r="E142" s="256">
        <v>0</v>
      </c>
      <c r="F142" s="256">
        <v>0</v>
      </c>
      <c r="G142" s="256">
        <v>0</v>
      </c>
      <c r="H142" s="256">
        <v>0</v>
      </c>
      <c r="I142" s="256">
        <v>0</v>
      </c>
      <c r="J142" s="257">
        <v>0</v>
      </c>
      <c r="K142" s="255">
        <v>0</v>
      </c>
      <c r="L142" s="256">
        <v>0</v>
      </c>
      <c r="M142" s="256">
        <v>0</v>
      </c>
      <c r="N142" s="256">
        <v>0</v>
      </c>
      <c r="O142" s="255">
        <v>0</v>
      </c>
      <c r="P142" s="255">
        <v>0</v>
      </c>
      <c r="Q142" s="256">
        <v>0</v>
      </c>
      <c r="R142" s="258">
        <v>0</v>
      </c>
      <c r="S142" s="15"/>
      <c r="T142" s="15"/>
      <c r="U142" s="15"/>
      <c r="V142" s="15"/>
    </row>
    <row r="143" spans="1:22">
      <c r="A143" s="253"/>
      <c r="B143" s="317" t="s">
        <v>120</v>
      </c>
      <c r="C143" s="318">
        <v>-6.3231139949357681E-2</v>
      </c>
      <c r="D143" s="319">
        <v>-0.97625558346428432</v>
      </c>
      <c r="E143" s="319">
        <v>-0.20220234239596646</v>
      </c>
      <c r="F143" s="319">
        <v>0</v>
      </c>
      <c r="G143" s="319">
        <v>0</v>
      </c>
      <c r="H143" s="319">
        <v>0</v>
      </c>
      <c r="I143" s="319">
        <v>0</v>
      </c>
      <c r="J143" s="320">
        <v>-0.13293686882666014</v>
      </c>
      <c r="K143" s="318">
        <v>0</v>
      </c>
      <c r="L143" s="319">
        <v>0</v>
      </c>
      <c r="M143" s="319">
        <v>0</v>
      </c>
      <c r="N143" s="319">
        <v>0</v>
      </c>
      <c r="O143" s="318">
        <v>0</v>
      </c>
      <c r="P143" s="321">
        <v>0</v>
      </c>
      <c r="Q143" s="319">
        <v>0</v>
      </c>
      <c r="R143" s="322">
        <v>0</v>
      </c>
      <c r="S143" s="15"/>
      <c r="T143" s="15"/>
      <c r="U143" s="15"/>
      <c r="V143" s="15"/>
    </row>
    <row r="144" spans="1:22">
      <c r="A144" s="253"/>
      <c r="B144" s="234" t="s">
        <v>121</v>
      </c>
      <c r="C144" s="249">
        <v>4.5520681174434724E-2</v>
      </c>
      <c r="D144" s="250">
        <v>1.4699513728207476E-2</v>
      </c>
      <c r="E144" s="250">
        <v>2.0351534461931688E-2</v>
      </c>
      <c r="F144" s="250">
        <v>0</v>
      </c>
      <c r="G144" s="250">
        <v>0</v>
      </c>
      <c r="H144" s="250">
        <v>0</v>
      </c>
      <c r="I144" s="250">
        <v>0</v>
      </c>
      <c r="J144" s="251">
        <v>4.041011933476208E-2</v>
      </c>
      <c r="K144" s="249">
        <v>0</v>
      </c>
      <c r="L144" s="250">
        <v>0</v>
      </c>
      <c r="M144" s="250">
        <v>0</v>
      </c>
      <c r="N144" s="250">
        <v>0</v>
      </c>
      <c r="O144" s="249">
        <v>0</v>
      </c>
      <c r="P144" s="249">
        <v>0</v>
      </c>
      <c r="Q144" s="250">
        <v>0</v>
      </c>
      <c r="R144" s="252">
        <v>0</v>
      </c>
      <c r="S144" s="15"/>
      <c r="T144" s="15"/>
      <c r="U144" s="15"/>
      <c r="V144" s="15"/>
    </row>
    <row r="145" spans="1:22">
      <c r="A145" s="253"/>
      <c r="B145" s="254" t="s">
        <v>122</v>
      </c>
      <c r="C145" s="255">
        <v>7.5435115792117776E-3</v>
      </c>
      <c r="D145" s="256">
        <v>1.4855266172764073E-2</v>
      </c>
      <c r="E145" s="256">
        <v>2.7134945952668764E-2</v>
      </c>
      <c r="F145" s="256">
        <v>0</v>
      </c>
      <c r="G145" s="256">
        <v>0</v>
      </c>
      <c r="H145" s="256">
        <v>0</v>
      </c>
      <c r="I145" s="256">
        <v>0</v>
      </c>
      <c r="J145" s="257">
        <v>9.6776502820423525E-3</v>
      </c>
      <c r="K145" s="255">
        <v>0</v>
      </c>
      <c r="L145" s="256">
        <v>0</v>
      </c>
      <c r="M145" s="256">
        <v>0</v>
      </c>
      <c r="N145" s="256">
        <v>0</v>
      </c>
      <c r="O145" s="255">
        <v>0</v>
      </c>
      <c r="P145" s="255">
        <v>0</v>
      </c>
      <c r="Q145" s="256">
        <v>0</v>
      </c>
      <c r="R145" s="258">
        <v>0</v>
      </c>
      <c r="S145" s="15"/>
      <c r="T145" s="15"/>
      <c r="U145" s="15"/>
      <c r="V145" s="15"/>
    </row>
    <row r="146" spans="1:22">
      <c r="A146" s="253"/>
      <c r="B146" s="317" t="s">
        <v>123</v>
      </c>
      <c r="C146" s="318">
        <v>-3.7977169595222944</v>
      </c>
      <c r="D146" s="319">
        <v>1.5575244455659672E-2</v>
      </c>
      <c r="E146" s="319">
        <v>0.67834114907370757</v>
      </c>
      <c r="F146" s="319">
        <v>0</v>
      </c>
      <c r="G146" s="319">
        <v>0</v>
      </c>
      <c r="H146" s="319">
        <v>0</v>
      </c>
      <c r="I146" s="319">
        <v>0</v>
      </c>
      <c r="J146" s="320">
        <v>-3.0732469052719731</v>
      </c>
      <c r="K146" s="318">
        <v>0</v>
      </c>
      <c r="L146" s="319">
        <v>0</v>
      </c>
      <c r="M146" s="319">
        <v>0</v>
      </c>
      <c r="N146" s="319">
        <v>0</v>
      </c>
      <c r="O146" s="318">
        <v>0</v>
      </c>
      <c r="P146" s="321">
        <v>0</v>
      </c>
      <c r="Q146" s="319">
        <v>0</v>
      </c>
      <c r="R146" s="322">
        <v>0</v>
      </c>
      <c r="S146" s="15"/>
      <c r="T146" s="15"/>
      <c r="U146" s="15"/>
      <c r="V146" s="15"/>
    </row>
    <row r="147" spans="1:22">
      <c r="A147" s="253"/>
      <c r="B147" s="234" t="s">
        <v>124</v>
      </c>
      <c r="C147" s="249">
        <v>1.1192198750491453E-4</v>
      </c>
      <c r="D147" s="250">
        <v>0</v>
      </c>
      <c r="E147" s="250">
        <v>0</v>
      </c>
      <c r="F147" s="250">
        <v>0</v>
      </c>
      <c r="G147" s="250">
        <v>0</v>
      </c>
      <c r="H147" s="250">
        <v>0</v>
      </c>
      <c r="I147" s="250">
        <v>0</v>
      </c>
      <c r="J147" s="251">
        <v>9.2525958671738455E-5</v>
      </c>
      <c r="K147" s="249">
        <v>0</v>
      </c>
      <c r="L147" s="250">
        <v>0</v>
      </c>
      <c r="M147" s="250">
        <v>0</v>
      </c>
      <c r="N147" s="250">
        <v>0</v>
      </c>
      <c r="O147" s="249">
        <v>0</v>
      </c>
      <c r="P147" s="249">
        <v>0</v>
      </c>
      <c r="Q147" s="250">
        <v>0</v>
      </c>
      <c r="R147" s="252">
        <v>0</v>
      </c>
      <c r="S147" s="15"/>
      <c r="T147" s="15"/>
      <c r="U147" s="15"/>
      <c r="V147" s="15"/>
    </row>
    <row r="148" spans="1:22">
      <c r="A148" s="253"/>
      <c r="B148" s="254" t="s">
        <v>125</v>
      </c>
      <c r="C148" s="255">
        <v>0</v>
      </c>
      <c r="D148" s="256">
        <v>0</v>
      </c>
      <c r="E148" s="256">
        <v>0</v>
      </c>
      <c r="F148" s="256">
        <v>0</v>
      </c>
      <c r="G148" s="256">
        <v>0</v>
      </c>
      <c r="H148" s="256">
        <v>0</v>
      </c>
      <c r="I148" s="256">
        <v>0</v>
      </c>
      <c r="J148" s="257">
        <v>0</v>
      </c>
      <c r="K148" s="255">
        <v>0</v>
      </c>
      <c r="L148" s="256">
        <v>0</v>
      </c>
      <c r="M148" s="256">
        <v>0</v>
      </c>
      <c r="N148" s="256">
        <v>0</v>
      </c>
      <c r="O148" s="255">
        <v>0</v>
      </c>
      <c r="P148" s="255">
        <v>0</v>
      </c>
      <c r="Q148" s="256">
        <v>0</v>
      </c>
      <c r="R148" s="258">
        <v>0</v>
      </c>
      <c r="S148" s="15"/>
      <c r="T148" s="15"/>
      <c r="U148" s="15"/>
      <c r="V148" s="15"/>
    </row>
    <row r="149" spans="1:22">
      <c r="A149" s="260"/>
      <c r="B149" s="317" t="s">
        <v>126</v>
      </c>
      <c r="C149" s="318">
        <v>-1.1192198750491452E-2</v>
      </c>
      <c r="D149" s="319">
        <v>0</v>
      </c>
      <c r="E149" s="319">
        <v>0</v>
      </c>
      <c r="F149" s="319">
        <v>0</v>
      </c>
      <c r="G149" s="319">
        <v>0</v>
      </c>
      <c r="H149" s="319">
        <v>0</v>
      </c>
      <c r="I149" s="319">
        <v>0</v>
      </c>
      <c r="J149" s="320">
        <v>-9.2525958671738455E-3</v>
      </c>
      <c r="K149" s="318">
        <v>0</v>
      </c>
      <c r="L149" s="319">
        <v>0</v>
      </c>
      <c r="M149" s="319">
        <v>0</v>
      </c>
      <c r="N149" s="319">
        <v>0</v>
      </c>
      <c r="O149" s="318">
        <v>0</v>
      </c>
      <c r="P149" s="321">
        <v>0</v>
      </c>
      <c r="Q149" s="319">
        <v>0</v>
      </c>
      <c r="R149" s="322">
        <v>0</v>
      </c>
      <c r="S149" s="15"/>
      <c r="T149" s="15"/>
      <c r="U149" s="15"/>
      <c r="V149" s="15"/>
    </row>
    <row r="150" spans="1:22">
      <c r="A150" s="248" t="s">
        <v>74</v>
      </c>
      <c r="B150" s="234" t="s">
        <v>91</v>
      </c>
      <c r="C150" s="249">
        <v>0</v>
      </c>
      <c r="D150" s="250">
        <v>0</v>
      </c>
      <c r="E150" s="250">
        <v>0</v>
      </c>
      <c r="F150" s="250">
        <v>0</v>
      </c>
      <c r="G150" s="250">
        <v>0</v>
      </c>
      <c r="H150" s="250">
        <v>0</v>
      </c>
      <c r="I150" s="250">
        <v>0</v>
      </c>
      <c r="J150" s="251">
        <v>0</v>
      </c>
      <c r="K150" s="249">
        <v>0</v>
      </c>
      <c r="L150" s="250">
        <v>0</v>
      </c>
      <c r="M150" s="250">
        <v>0</v>
      </c>
      <c r="N150" s="250">
        <v>0</v>
      </c>
      <c r="O150" s="249">
        <v>0</v>
      </c>
      <c r="P150" s="249">
        <v>0.80024061191603713</v>
      </c>
      <c r="Q150" s="250">
        <v>0</v>
      </c>
      <c r="R150" s="252">
        <v>0.80024061191603713</v>
      </c>
      <c r="S150" s="15"/>
      <c r="T150" s="15"/>
      <c r="U150" s="15"/>
      <c r="V150" s="15"/>
    </row>
    <row r="151" spans="1:22">
      <c r="A151" s="253"/>
      <c r="B151" s="254" t="s">
        <v>92</v>
      </c>
      <c r="C151" s="255">
        <v>0</v>
      </c>
      <c r="D151" s="256">
        <v>0</v>
      </c>
      <c r="E151" s="256">
        <v>0</v>
      </c>
      <c r="F151" s="256">
        <v>0</v>
      </c>
      <c r="G151" s="256">
        <v>0</v>
      </c>
      <c r="H151" s="256">
        <v>0</v>
      </c>
      <c r="I151" s="256">
        <v>0</v>
      </c>
      <c r="J151" s="257">
        <v>0</v>
      </c>
      <c r="K151" s="255">
        <v>0</v>
      </c>
      <c r="L151" s="256">
        <v>0</v>
      </c>
      <c r="M151" s="256">
        <v>0</v>
      </c>
      <c r="N151" s="256">
        <v>0</v>
      </c>
      <c r="O151" s="255">
        <v>0</v>
      </c>
      <c r="P151" s="255">
        <v>0.77544665630776977</v>
      </c>
      <c r="Q151" s="256">
        <v>0</v>
      </c>
      <c r="R151" s="258">
        <v>0.77544665630776977</v>
      </c>
      <c r="S151" s="15"/>
      <c r="T151" s="15"/>
      <c r="U151" s="15"/>
      <c r="V151" s="15"/>
    </row>
    <row r="152" spans="1:22">
      <c r="A152" s="253"/>
      <c r="B152" s="317" t="s">
        <v>93</v>
      </c>
      <c r="C152" s="318">
        <v>0</v>
      </c>
      <c r="D152" s="319">
        <v>0</v>
      </c>
      <c r="E152" s="319">
        <v>0</v>
      </c>
      <c r="F152" s="319">
        <v>0</v>
      </c>
      <c r="G152" s="319">
        <v>0</v>
      </c>
      <c r="H152" s="319">
        <v>0</v>
      </c>
      <c r="I152" s="319">
        <v>0</v>
      </c>
      <c r="J152" s="320">
        <v>0</v>
      </c>
      <c r="K152" s="318">
        <v>0</v>
      </c>
      <c r="L152" s="319">
        <v>0</v>
      </c>
      <c r="M152" s="319">
        <v>0</v>
      </c>
      <c r="N152" s="319">
        <v>0</v>
      </c>
      <c r="O152" s="318">
        <v>0</v>
      </c>
      <c r="P152" s="321">
        <v>-2.479395560826736</v>
      </c>
      <c r="Q152" s="319">
        <v>0</v>
      </c>
      <c r="R152" s="322">
        <v>-2.479395560826736</v>
      </c>
      <c r="S152" s="15"/>
      <c r="T152" s="15"/>
      <c r="U152" s="15"/>
      <c r="V152" s="15"/>
    </row>
    <row r="153" spans="1:22">
      <c r="A153" s="253"/>
      <c r="B153" s="234" t="s">
        <v>94</v>
      </c>
      <c r="C153" s="249">
        <v>0</v>
      </c>
      <c r="D153" s="250">
        <v>0</v>
      </c>
      <c r="E153" s="250">
        <v>0</v>
      </c>
      <c r="F153" s="250">
        <v>0</v>
      </c>
      <c r="G153" s="250">
        <v>0</v>
      </c>
      <c r="H153" s="250">
        <v>0</v>
      </c>
      <c r="I153" s="250">
        <v>0</v>
      </c>
      <c r="J153" s="251">
        <v>0</v>
      </c>
      <c r="K153" s="249">
        <v>0</v>
      </c>
      <c r="L153" s="250">
        <v>0</v>
      </c>
      <c r="M153" s="250">
        <v>0</v>
      </c>
      <c r="N153" s="250">
        <v>0</v>
      </c>
      <c r="O153" s="249">
        <v>0</v>
      </c>
      <c r="P153" s="249">
        <v>0</v>
      </c>
      <c r="Q153" s="250">
        <v>0</v>
      </c>
      <c r="R153" s="252">
        <v>0</v>
      </c>
      <c r="S153" s="15"/>
      <c r="T153" s="15"/>
      <c r="U153" s="15"/>
      <c r="V153" s="15"/>
    </row>
    <row r="154" spans="1:22">
      <c r="A154" s="253"/>
      <c r="B154" s="254" t="s">
        <v>95</v>
      </c>
      <c r="C154" s="255">
        <v>0</v>
      </c>
      <c r="D154" s="256">
        <v>0</v>
      </c>
      <c r="E154" s="256">
        <v>0</v>
      </c>
      <c r="F154" s="256">
        <v>0</v>
      </c>
      <c r="G154" s="256">
        <v>0</v>
      </c>
      <c r="H154" s="256">
        <v>0</v>
      </c>
      <c r="I154" s="256">
        <v>0</v>
      </c>
      <c r="J154" s="257">
        <v>0</v>
      </c>
      <c r="K154" s="255">
        <v>0</v>
      </c>
      <c r="L154" s="256">
        <v>0</v>
      </c>
      <c r="M154" s="256">
        <v>0</v>
      </c>
      <c r="N154" s="256">
        <v>0</v>
      </c>
      <c r="O154" s="255">
        <v>0</v>
      </c>
      <c r="P154" s="255">
        <v>0</v>
      </c>
      <c r="Q154" s="256">
        <v>0</v>
      </c>
      <c r="R154" s="258">
        <v>0</v>
      </c>
      <c r="S154" s="15"/>
      <c r="T154" s="15"/>
      <c r="U154" s="15"/>
      <c r="V154" s="15"/>
    </row>
    <row r="155" spans="1:22">
      <c r="A155" s="253"/>
      <c r="B155" s="317" t="s">
        <v>96</v>
      </c>
      <c r="C155" s="318">
        <v>0</v>
      </c>
      <c r="D155" s="319">
        <v>0</v>
      </c>
      <c r="E155" s="319">
        <v>0</v>
      </c>
      <c r="F155" s="319">
        <v>0</v>
      </c>
      <c r="G155" s="319">
        <v>0</v>
      </c>
      <c r="H155" s="319">
        <v>0</v>
      </c>
      <c r="I155" s="319">
        <v>0</v>
      </c>
      <c r="J155" s="320">
        <v>0</v>
      </c>
      <c r="K155" s="318">
        <v>0</v>
      </c>
      <c r="L155" s="319">
        <v>0</v>
      </c>
      <c r="M155" s="319">
        <v>0</v>
      </c>
      <c r="N155" s="319">
        <v>0</v>
      </c>
      <c r="O155" s="318">
        <v>0</v>
      </c>
      <c r="P155" s="321">
        <v>0</v>
      </c>
      <c r="Q155" s="319">
        <v>0</v>
      </c>
      <c r="R155" s="322">
        <v>0</v>
      </c>
      <c r="S155" s="15"/>
      <c r="T155" s="15"/>
      <c r="U155" s="15"/>
      <c r="V155" s="15"/>
    </row>
    <row r="156" spans="1:22">
      <c r="A156" s="253"/>
      <c r="B156" s="234" t="s">
        <v>97</v>
      </c>
      <c r="C156" s="249">
        <v>0</v>
      </c>
      <c r="D156" s="250">
        <v>0</v>
      </c>
      <c r="E156" s="250">
        <v>0</v>
      </c>
      <c r="F156" s="250">
        <v>0</v>
      </c>
      <c r="G156" s="250">
        <v>0</v>
      </c>
      <c r="H156" s="250">
        <v>0</v>
      </c>
      <c r="I156" s="250">
        <v>0</v>
      </c>
      <c r="J156" s="251">
        <v>0</v>
      </c>
      <c r="K156" s="249">
        <v>0</v>
      </c>
      <c r="L156" s="250">
        <v>0</v>
      </c>
      <c r="M156" s="250">
        <v>0</v>
      </c>
      <c r="N156" s="250">
        <v>0</v>
      </c>
      <c r="O156" s="249">
        <v>0</v>
      </c>
      <c r="P156" s="249">
        <v>0.19775662501708785</v>
      </c>
      <c r="Q156" s="250">
        <v>0</v>
      </c>
      <c r="R156" s="252">
        <v>0.19775662501708785</v>
      </c>
      <c r="S156" s="15"/>
      <c r="T156" s="15"/>
      <c r="U156" s="15"/>
      <c r="V156" s="15"/>
    </row>
    <row r="157" spans="1:22">
      <c r="A157" s="253"/>
      <c r="B157" s="254" t="s">
        <v>98</v>
      </c>
      <c r="C157" s="255">
        <v>0</v>
      </c>
      <c r="D157" s="256">
        <v>0</v>
      </c>
      <c r="E157" s="256">
        <v>0</v>
      </c>
      <c r="F157" s="256">
        <v>0</v>
      </c>
      <c r="G157" s="256">
        <v>0</v>
      </c>
      <c r="H157" s="256">
        <v>0</v>
      </c>
      <c r="I157" s="256">
        <v>0</v>
      </c>
      <c r="J157" s="257">
        <v>0</v>
      </c>
      <c r="K157" s="255">
        <v>0</v>
      </c>
      <c r="L157" s="256">
        <v>0</v>
      </c>
      <c r="M157" s="256">
        <v>0</v>
      </c>
      <c r="N157" s="256">
        <v>0</v>
      </c>
      <c r="O157" s="255">
        <v>0</v>
      </c>
      <c r="P157" s="255">
        <v>0.22281962779344985</v>
      </c>
      <c r="Q157" s="256">
        <v>0</v>
      </c>
      <c r="R157" s="258">
        <v>0.22281962779344985</v>
      </c>
      <c r="S157" s="15"/>
      <c r="T157" s="15"/>
      <c r="U157" s="15"/>
      <c r="V157" s="15"/>
    </row>
    <row r="158" spans="1:22">
      <c r="A158" s="253"/>
      <c r="B158" s="317" t="s">
        <v>99</v>
      </c>
      <c r="C158" s="318">
        <v>0</v>
      </c>
      <c r="D158" s="319">
        <v>0</v>
      </c>
      <c r="E158" s="319">
        <v>0</v>
      </c>
      <c r="F158" s="319">
        <v>0</v>
      </c>
      <c r="G158" s="319">
        <v>0</v>
      </c>
      <c r="H158" s="319">
        <v>0</v>
      </c>
      <c r="I158" s="319">
        <v>0</v>
      </c>
      <c r="J158" s="320">
        <v>0</v>
      </c>
      <c r="K158" s="318">
        <v>0</v>
      </c>
      <c r="L158" s="319">
        <v>0</v>
      </c>
      <c r="M158" s="319">
        <v>0</v>
      </c>
      <c r="N158" s="319">
        <v>0</v>
      </c>
      <c r="O158" s="318">
        <v>0</v>
      </c>
      <c r="P158" s="321">
        <v>2.5063002776362002</v>
      </c>
      <c r="Q158" s="319">
        <v>0</v>
      </c>
      <c r="R158" s="322">
        <v>2.5063002776362002</v>
      </c>
      <c r="S158" s="15"/>
      <c r="T158" s="15"/>
      <c r="U158" s="15"/>
      <c r="V158" s="15"/>
    </row>
    <row r="159" spans="1:22">
      <c r="A159" s="253"/>
      <c r="B159" s="234" t="s">
        <v>100</v>
      </c>
      <c r="C159" s="249">
        <v>0</v>
      </c>
      <c r="D159" s="250">
        <v>0</v>
      </c>
      <c r="E159" s="250">
        <v>0</v>
      </c>
      <c r="F159" s="250">
        <v>0</v>
      </c>
      <c r="G159" s="250">
        <v>0</v>
      </c>
      <c r="H159" s="250">
        <v>0</v>
      </c>
      <c r="I159" s="250">
        <v>0</v>
      </c>
      <c r="J159" s="251">
        <v>0</v>
      </c>
      <c r="K159" s="249">
        <v>0</v>
      </c>
      <c r="L159" s="250">
        <v>0</v>
      </c>
      <c r="M159" s="250">
        <v>0</v>
      </c>
      <c r="N159" s="250">
        <v>0</v>
      </c>
      <c r="O159" s="249">
        <v>0</v>
      </c>
      <c r="P159" s="249">
        <v>2.0027630668752717E-3</v>
      </c>
      <c r="Q159" s="250">
        <v>0</v>
      </c>
      <c r="R159" s="252">
        <v>2.0027630668752717E-3</v>
      </c>
      <c r="S159" s="15"/>
      <c r="T159" s="15"/>
      <c r="U159" s="15"/>
      <c r="V159" s="15"/>
    </row>
    <row r="160" spans="1:22">
      <c r="A160" s="253"/>
      <c r="B160" s="254" t="s">
        <v>101</v>
      </c>
      <c r="C160" s="255">
        <v>0</v>
      </c>
      <c r="D160" s="256">
        <v>0</v>
      </c>
      <c r="E160" s="256">
        <v>0</v>
      </c>
      <c r="F160" s="256">
        <v>0</v>
      </c>
      <c r="G160" s="256">
        <v>0</v>
      </c>
      <c r="H160" s="256">
        <v>0</v>
      </c>
      <c r="I160" s="256">
        <v>0</v>
      </c>
      <c r="J160" s="257">
        <v>0</v>
      </c>
      <c r="K160" s="255">
        <v>0</v>
      </c>
      <c r="L160" s="256">
        <v>0</v>
      </c>
      <c r="M160" s="256">
        <v>0</v>
      </c>
      <c r="N160" s="256">
        <v>0</v>
      </c>
      <c r="O160" s="255">
        <v>0</v>
      </c>
      <c r="P160" s="255">
        <v>1.7337158987802577E-3</v>
      </c>
      <c r="Q160" s="256">
        <v>0</v>
      </c>
      <c r="R160" s="258">
        <v>1.7337158987802577E-3</v>
      </c>
      <c r="S160" s="15"/>
      <c r="T160" s="15"/>
      <c r="U160" s="15"/>
      <c r="V160" s="15"/>
    </row>
    <row r="161" spans="1:22">
      <c r="A161" s="253"/>
      <c r="B161" s="317" t="s">
        <v>102</v>
      </c>
      <c r="C161" s="318">
        <v>0</v>
      </c>
      <c r="D161" s="319">
        <v>0</v>
      </c>
      <c r="E161" s="319">
        <v>0</v>
      </c>
      <c r="F161" s="319">
        <v>0</v>
      </c>
      <c r="G161" s="319">
        <v>0</v>
      </c>
      <c r="H161" s="319">
        <v>0</v>
      </c>
      <c r="I161" s="319">
        <v>0</v>
      </c>
      <c r="J161" s="320">
        <v>0</v>
      </c>
      <c r="K161" s="318">
        <v>0</v>
      </c>
      <c r="L161" s="319">
        <v>0</v>
      </c>
      <c r="M161" s="319">
        <v>0</v>
      </c>
      <c r="N161" s="319">
        <v>0</v>
      </c>
      <c r="O161" s="318">
        <v>0</v>
      </c>
      <c r="P161" s="321">
        <v>-2.6904716809501395E-2</v>
      </c>
      <c r="Q161" s="319">
        <v>0</v>
      </c>
      <c r="R161" s="322">
        <v>-2.6904716809501395E-2</v>
      </c>
      <c r="S161" s="15"/>
      <c r="T161" s="15"/>
      <c r="U161" s="15"/>
      <c r="V161" s="15"/>
    </row>
    <row r="162" spans="1:22">
      <c r="A162" s="253"/>
      <c r="B162" s="234" t="s">
        <v>103</v>
      </c>
      <c r="C162" s="249">
        <v>0</v>
      </c>
      <c r="D162" s="250">
        <v>0</v>
      </c>
      <c r="E162" s="250">
        <v>0</v>
      </c>
      <c r="F162" s="250">
        <v>0</v>
      </c>
      <c r="G162" s="250">
        <v>0</v>
      </c>
      <c r="H162" s="250">
        <v>0</v>
      </c>
      <c r="I162" s="250">
        <v>0</v>
      </c>
      <c r="J162" s="251">
        <v>0</v>
      </c>
      <c r="K162" s="249">
        <v>0</v>
      </c>
      <c r="L162" s="250">
        <v>0</v>
      </c>
      <c r="M162" s="250">
        <v>0</v>
      </c>
      <c r="N162" s="250">
        <v>0</v>
      </c>
      <c r="O162" s="249">
        <v>0</v>
      </c>
      <c r="P162" s="249">
        <v>0</v>
      </c>
      <c r="Q162" s="250">
        <v>0</v>
      </c>
      <c r="R162" s="252">
        <v>0</v>
      </c>
      <c r="S162" s="15"/>
      <c r="T162" s="15"/>
      <c r="U162" s="15"/>
      <c r="V162" s="15"/>
    </row>
    <row r="163" spans="1:22">
      <c r="A163" s="253"/>
      <c r="B163" s="254" t="s">
        <v>104</v>
      </c>
      <c r="C163" s="255">
        <v>0</v>
      </c>
      <c r="D163" s="256">
        <v>0</v>
      </c>
      <c r="E163" s="256">
        <v>0</v>
      </c>
      <c r="F163" s="256">
        <v>0</v>
      </c>
      <c r="G163" s="256">
        <v>0</v>
      </c>
      <c r="H163" s="256">
        <v>0</v>
      </c>
      <c r="I163" s="256">
        <v>0</v>
      </c>
      <c r="J163" s="257">
        <v>0</v>
      </c>
      <c r="K163" s="255">
        <v>0</v>
      </c>
      <c r="L163" s="256">
        <v>0</v>
      </c>
      <c r="M163" s="256">
        <v>0</v>
      </c>
      <c r="N163" s="256">
        <v>0</v>
      </c>
      <c r="O163" s="255">
        <v>0</v>
      </c>
      <c r="P163" s="255">
        <v>0</v>
      </c>
      <c r="Q163" s="256">
        <v>0</v>
      </c>
      <c r="R163" s="258">
        <v>0</v>
      </c>
      <c r="S163" s="15"/>
      <c r="T163" s="15"/>
      <c r="U163" s="15"/>
      <c r="V163" s="15"/>
    </row>
    <row r="164" spans="1:22">
      <c r="A164" s="253"/>
      <c r="B164" s="317" t="s">
        <v>105</v>
      </c>
      <c r="C164" s="318">
        <v>0</v>
      </c>
      <c r="D164" s="319">
        <v>0</v>
      </c>
      <c r="E164" s="319">
        <v>0</v>
      </c>
      <c r="F164" s="319">
        <v>0</v>
      </c>
      <c r="G164" s="319">
        <v>0</v>
      </c>
      <c r="H164" s="319">
        <v>0</v>
      </c>
      <c r="I164" s="319">
        <v>0</v>
      </c>
      <c r="J164" s="320">
        <v>0</v>
      </c>
      <c r="K164" s="318">
        <v>0</v>
      </c>
      <c r="L164" s="319">
        <v>0</v>
      </c>
      <c r="M164" s="319">
        <v>0</v>
      </c>
      <c r="N164" s="319">
        <v>0</v>
      </c>
      <c r="O164" s="318">
        <v>0</v>
      </c>
      <c r="P164" s="321">
        <v>0</v>
      </c>
      <c r="Q164" s="319">
        <v>0</v>
      </c>
      <c r="R164" s="322">
        <v>0</v>
      </c>
      <c r="S164" s="15"/>
      <c r="T164" s="15"/>
      <c r="U164" s="15"/>
      <c r="V164" s="15"/>
    </row>
    <row r="165" spans="1:22">
      <c r="A165" s="253"/>
      <c r="B165" s="234" t="s">
        <v>106</v>
      </c>
      <c r="C165" s="249">
        <v>0</v>
      </c>
      <c r="D165" s="250">
        <v>0</v>
      </c>
      <c r="E165" s="250">
        <v>0</v>
      </c>
      <c r="F165" s="250">
        <v>0</v>
      </c>
      <c r="G165" s="250">
        <v>0</v>
      </c>
      <c r="H165" s="250">
        <v>0</v>
      </c>
      <c r="I165" s="250">
        <v>0</v>
      </c>
      <c r="J165" s="251">
        <v>0</v>
      </c>
      <c r="K165" s="249">
        <v>0</v>
      </c>
      <c r="L165" s="250">
        <v>0</v>
      </c>
      <c r="M165" s="250">
        <v>0</v>
      </c>
      <c r="N165" s="250">
        <v>0</v>
      </c>
      <c r="O165" s="249">
        <v>0</v>
      </c>
      <c r="P165" s="249">
        <v>0</v>
      </c>
      <c r="Q165" s="250">
        <v>0</v>
      </c>
      <c r="R165" s="252">
        <v>0</v>
      </c>
      <c r="S165" s="15"/>
      <c r="T165" s="15"/>
      <c r="U165" s="15"/>
      <c r="V165" s="15"/>
    </row>
    <row r="166" spans="1:22">
      <c r="A166" s="253"/>
      <c r="B166" s="254" t="s">
        <v>107</v>
      </c>
      <c r="C166" s="255">
        <v>0</v>
      </c>
      <c r="D166" s="256">
        <v>0</v>
      </c>
      <c r="E166" s="256">
        <v>0</v>
      </c>
      <c r="F166" s="256">
        <v>0</v>
      </c>
      <c r="G166" s="256">
        <v>0</v>
      </c>
      <c r="H166" s="256">
        <v>0</v>
      </c>
      <c r="I166" s="256">
        <v>0</v>
      </c>
      <c r="J166" s="257">
        <v>0</v>
      </c>
      <c r="K166" s="255">
        <v>0</v>
      </c>
      <c r="L166" s="256">
        <v>0</v>
      </c>
      <c r="M166" s="256">
        <v>0</v>
      </c>
      <c r="N166" s="256">
        <v>0</v>
      </c>
      <c r="O166" s="255">
        <v>0</v>
      </c>
      <c r="P166" s="255">
        <v>0</v>
      </c>
      <c r="Q166" s="256">
        <v>0</v>
      </c>
      <c r="R166" s="258">
        <v>0</v>
      </c>
      <c r="S166" s="15"/>
      <c r="T166" s="15"/>
      <c r="U166" s="15"/>
      <c r="V166" s="15"/>
    </row>
    <row r="167" spans="1:22">
      <c r="A167" s="253"/>
      <c r="B167" s="317" t="s">
        <v>108</v>
      </c>
      <c r="C167" s="318">
        <v>0</v>
      </c>
      <c r="D167" s="319">
        <v>0</v>
      </c>
      <c r="E167" s="319">
        <v>0</v>
      </c>
      <c r="F167" s="319">
        <v>0</v>
      </c>
      <c r="G167" s="319">
        <v>0</v>
      </c>
      <c r="H167" s="319">
        <v>0</v>
      </c>
      <c r="I167" s="319">
        <v>0</v>
      </c>
      <c r="J167" s="320">
        <v>0</v>
      </c>
      <c r="K167" s="318">
        <v>0</v>
      </c>
      <c r="L167" s="319">
        <v>0</v>
      </c>
      <c r="M167" s="319">
        <v>0</v>
      </c>
      <c r="N167" s="319">
        <v>0</v>
      </c>
      <c r="O167" s="318">
        <v>0</v>
      </c>
      <c r="P167" s="321">
        <v>0</v>
      </c>
      <c r="Q167" s="319">
        <v>0</v>
      </c>
      <c r="R167" s="322">
        <v>0</v>
      </c>
      <c r="S167" s="15"/>
      <c r="T167" s="15"/>
      <c r="U167" s="15"/>
      <c r="V167" s="15"/>
    </row>
    <row r="168" spans="1:22">
      <c r="A168" s="253"/>
      <c r="B168" s="234" t="s">
        <v>109</v>
      </c>
      <c r="C168" s="249">
        <v>0</v>
      </c>
      <c r="D168" s="250">
        <v>0</v>
      </c>
      <c r="E168" s="250">
        <v>0</v>
      </c>
      <c r="F168" s="250">
        <v>0</v>
      </c>
      <c r="G168" s="250">
        <v>0</v>
      </c>
      <c r="H168" s="250">
        <v>0</v>
      </c>
      <c r="I168" s="250">
        <v>0</v>
      </c>
      <c r="J168" s="251">
        <v>0</v>
      </c>
      <c r="K168" s="249">
        <v>0</v>
      </c>
      <c r="L168" s="250">
        <v>0</v>
      </c>
      <c r="M168" s="250">
        <v>0</v>
      </c>
      <c r="N168" s="250">
        <v>0</v>
      </c>
      <c r="O168" s="249">
        <v>0</v>
      </c>
      <c r="P168" s="249">
        <v>0</v>
      </c>
      <c r="Q168" s="250">
        <v>0</v>
      </c>
      <c r="R168" s="252">
        <v>0</v>
      </c>
      <c r="S168" s="15"/>
      <c r="T168" s="15"/>
      <c r="U168" s="15"/>
      <c r="V168" s="15"/>
    </row>
    <row r="169" spans="1:22">
      <c r="A169" s="253"/>
      <c r="B169" s="254" t="s">
        <v>110</v>
      </c>
      <c r="C169" s="255">
        <v>0</v>
      </c>
      <c r="D169" s="256">
        <v>0</v>
      </c>
      <c r="E169" s="256">
        <v>0</v>
      </c>
      <c r="F169" s="256">
        <v>0</v>
      </c>
      <c r="G169" s="256">
        <v>0</v>
      </c>
      <c r="H169" s="256">
        <v>0</v>
      </c>
      <c r="I169" s="256">
        <v>0</v>
      </c>
      <c r="J169" s="257">
        <v>0</v>
      </c>
      <c r="K169" s="255">
        <v>0</v>
      </c>
      <c r="L169" s="256">
        <v>0</v>
      </c>
      <c r="M169" s="256">
        <v>0</v>
      </c>
      <c r="N169" s="256">
        <v>0</v>
      </c>
      <c r="O169" s="255">
        <v>0</v>
      </c>
      <c r="P169" s="255">
        <v>0</v>
      </c>
      <c r="Q169" s="256">
        <v>0</v>
      </c>
      <c r="R169" s="258">
        <v>0</v>
      </c>
      <c r="S169" s="15"/>
      <c r="T169" s="15"/>
      <c r="U169" s="15"/>
      <c r="V169" s="15"/>
    </row>
    <row r="170" spans="1:22">
      <c r="A170" s="253"/>
      <c r="B170" s="317" t="s">
        <v>111</v>
      </c>
      <c r="C170" s="318">
        <v>0</v>
      </c>
      <c r="D170" s="319">
        <v>0</v>
      </c>
      <c r="E170" s="319">
        <v>0</v>
      </c>
      <c r="F170" s="319">
        <v>0</v>
      </c>
      <c r="G170" s="319">
        <v>0</v>
      </c>
      <c r="H170" s="319">
        <v>0</v>
      </c>
      <c r="I170" s="319">
        <v>0</v>
      </c>
      <c r="J170" s="320">
        <v>0</v>
      </c>
      <c r="K170" s="318">
        <v>0</v>
      </c>
      <c r="L170" s="319">
        <v>0</v>
      </c>
      <c r="M170" s="319">
        <v>0</v>
      </c>
      <c r="N170" s="319">
        <v>0</v>
      </c>
      <c r="O170" s="318">
        <v>0</v>
      </c>
      <c r="P170" s="321">
        <v>0</v>
      </c>
      <c r="Q170" s="319">
        <v>0</v>
      </c>
      <c r="R170" s="322">
        <v>0</v>
      </c>
      <c r="S170" s="15"/>
      <c r="T170" s="15"/>
      <c r="U170" s="15"/>
      <c r="V170" s="15"/>
    </row>
    <row r="171" spans="1:22">
      <c r="A171" s="253"/>
      <c r="B171" s="234" t="s">
        <v>112</v>
      </c>
      <c r="C171" s="249">
        <v>0</v>
      </c>
      <c r="D171" s="250">
        <v>0</v>
      </c>
      <c r="E171" s="250">
        <v>0</v>
      </c>
      <c r="F171" s="250">
        <v>0</v>
      </c>
      <c r="G171" s="250">
        <v>0</v>
      </c>
      <c r="H171" s="250">
        <v>0</v>
      </c>
      <c r="I171" s="250">
        <v>0</v>
      </c>
      <c r="J171" s="251">
        <v>0</v>
      </c>
      <c r="K171" s="249">
        <v>0</v>
      </c>
      <c r="L171" s="250">
        <v>0</v>
      </c>
      <c r="M171" s="250">
        <v>0</v>
      </c>
      <c r="N171" s="250">
        <v>0</v>
      </c>
      <c r="O171" s="249">
        <v>0</v>
      </c>
      <c r="P171" s="249">
        <v>0</v>
      </c>
      <c r="Q171" s="250">
        <v>0</v>
      </c>
      <c r="R171" s="252">
        <v>0</v>
      </c>
      <c r="S171" s="15"/>
      <c r="T171" s="15"/>
      <c r="U171" s="15"/>
      <c r="V171" s="15"/>
    </row>
    <row r="172" spans="1:22">
      <c r="A172" s="253"/>
      <c r="B172" s="254" t="s">
        <v>113</v>
      </c>
      <c r="C172" s="255">
        <v>0</v>
      </c>
      <c r="D172" s="256">
        <v>0</v>
      </c>
      <c r="E172" s="256">
        <v>0</v>
      </c>
      <c r="F172" s="256">
        <v>0</v>
      </c>
      <c r="G172" s="256">
        <v>0</v>
      </c>
      <c r="H172" s="256">
        <v>0</v>
      </c>
      <c r="I172" s="256">
        <v>0</v>
      </c>
      <c r="J172" s="257">
        <v>0</v>
      </c>
      <c r="K172" s="255">
        <v>0</v>
      </c>
      <c r="L172" s="256">
        <v>0</v>
      </c>
      <c r="M172" s="256">
        <v>0</v>
      </c>
      <c r="N172" s="256">
        <v>0</v>
      </c>
      <c r="O172" s="255">
        <v>0</v>
      </c>
      <c r="P172" s="255">
        <v>0</v>
      </c>
      <c r="Q172" s="256">
        <v>0</v>
      </c>
      <c r="R172" s="258">
        <v>0</v>
      </c>
      <c r="S172" s="15"/>
      <c r="T172" s="15"/>
      <c r="U172" s="15"/>
      <c r="V172" s="15"/>
    </row>
    <row r="173" spans="1:22">
      <c r="A173" s="253"/>
      <c r="B173" s="317" t="s">
        <v>114</v>
      </c>
      <c r="C173" s="318">
        <v>0</v>
      </c>
      <c r="D173" s="319">
        <v>0</v>
      </c>
      <c r="E173" s="319">
        <v>0</v>
      </c>
      <c r="F173" s="319">
        <v>0</v>
      </c>
      <c r="G173" s="319">
        <v>0</v>
      </c>
      <c r="H173" s="319">
        <v>0</v>
      </c>
      <c r="I173" s="319">
        <v>0</v>
      </c>
      <c r="J173" s="320">
        <v>0</v>
      </c>
      <c r="K173" s="318">
        <v>0</v>
      </c>
      <c r="L173" s="319">
        <v>0</v>
      </c>
      <c r="M173" s="319">
        <v>0</v>
      </c>
      <c r="N173" s="319">
        <v>0</v>
      </c>
      <c r="O173" s="318">
        <v>0</v>
      </c>
      <c r="P173" s="321">
        <v>0</v>
      </c>
      <c r="Q173" s="319">
        <v>0</v>
      </c>
      <c r="R173" s="322">
        <v>0</v>
      </c>
      <c r="S173" s="15"/>
      <c r="T173" s="15"/>
      <c r="U173" s="15"/>
      <c r="V173" s="15"/>
    </row>
    <row r="174" spans="1:22">
      <c r="A174" s="253"/>
      <c r="B174" s="234" t="s">
        <v>115</v>
      </c>
      <c r="C174" s="249">
        <v>0</v>
      </c>
      <c r="D174" s="250">
        <v>0</v>
      </c>
      <c r="E174" s="250">
        <v>0</v>
      </c>
      <c r="F174" s="250">
        <v>0</v>
      </c>
      <c r="G174" s="250">
        <v>0</v>
      </c>
      <c r="H174" s="250">
        <v>0</v>
      </c>
      <c r="I174" s="250">
        <v>0</v>
      </c>
      <c r="J174" s="251">
        <v>0</v>
      </c>
      <c r="K174" s="249">
        <v>0</v>
      </c>
      <c r="L174" s="250">
        <v>0</v>
      </c>
      <c r="M174" s="250">
        <v>0</v>
      </c>
      <c r="N174" s="250">
        <v>0</v>
      </c>
      <c r="O174" s="249">
        <v>0</v>
      </c>
      <c r="P174" s="249">
        <v>0</v>
      </c>
      <c r="Q174" s="250">
        <v>0</v>
      </c>
      <c r="R174" s="252">
        <v>0</v>
      </c>
      <c r="S174" s="15"/>
      <c r="T174" s="15"/>
      <c r="U174" s="15"/>
      <c r="V174" s="15"/>
    </row>
    <row r="175" spans="1:22">
      <c r="A175" s="253"/>
      <c r="B175" s="254" t="s">
        <v>116</v>
      </c>
      <c r="C175" s="255">
        <v>0</v>
      </c>
      <c r="D175" s="256">
        <v>0</v>
      </c>
      <c r="E175" s="256">
        <v>0</v>
      </c>
      <c r="F175" s="256">
        <v>0</v>
      </c>
      <c r="G175" s="256">
        <v>0</v>
      </c>
      <c r="H175" s="256">
        <v>0</v>
      </c>
      <c r="I175" s="256">
        <v>0</v>
      </c>
      <c r="J175" s="257">
        <v>0</v>
      </c>
      <c r="K175" s="255">
        <v>0</v>
      </c>
      <c r="L175" s="256">
        <v>0</v>
      </c>
      <c r="M175" s="256">
        <v>0</v>
      </c>
      <c r="N175" s="256">
        <v>0</v>
      </c>
      <c r="O175" s="255">
        <v>0</v>
      </c>
      <c r="P175" s="255">
        <v>0</v>
      </c>
      <c r="Q175" s="256">
        <v>0</v>
      </c>
      <c r="R175" s="258">
        <v>0</v>
      </c>
      <c r="S175" s="15"/>
      <c r="T175" s="15"/>
      <c r="U175" s="15"/>
      <c r="V175" s="15"/>
    </row>
    <row r="176" spans="1:22">
      <c r="A176" s="253"/>
      <c r="B176" s="317" t="s">
        <v>117</v>
      </c>
      <c r="C176" s="318">
        <v>0</v>
      </c>
      <c r="D176" s="319">
        <v>0</v>
      </c>
      <c r="E176" s="319">
        <v>0</v>
      </c>
      <c r="F176" s="319">
        <v>0</v>
      </c>
      <c r="G176" s="319">
        <v>0</v>
      </c>
      <c r="H176" s="319">
        <v>0</v>
      </c>
      <c r="I176" s="319">
        <v>0</v>
      </c>
      <c r="J176" s="320">
        <v>0</v>
      </c>
      <c r="K176" s="318">
        <v>0</v>
      </c>
      <c r="L176" s="319">
        <v>0</v>
      </c>
      <c r="M176" s="319">
        <v>0</v>
      </c>
      <c r="N176" s="319">
        <v>0</v>
      </c>
      <c r="O176" s="318">
        <v>0</v>
      </c>
      <c r="P176" s="321">
        <v>0</v>
      </c>
      <c r="Q176" s="319">
        <v>0</v>
      </c>
      <c r="R176" s="322">
        <v>0</v>
      </c>
      <c r="S176" s="15"/>
      <c r="T176" s="15"/>
      <c r="U176" s="15"/>
      <c r="V176" s="15"/>
    </row>
    <row r="177" spans="1:22">
      <c r="A177" s="253"/>
      <c r="B177" s="234" t="s">
        <v>118</v>
      </c>
      <c r="C177" s="249">
        <v>0</v>
      </c>
      <c r="D177" s="250">
        <v>0</v>
      </c>
      <c r="E177" s="250">
        <v>0</v>
      </c>
      <c r="F177" s="250">
        <v>0</v>
      </c>
      <c r="G177" s="250">
        <v>0</v>
      </c>
      <c r="H177" s="250">
        <v>0</v>
      </c>
      <c r="I177" s="250">
        <v>0</v>
      </c>
      <c r="J177" s="251">
        <v>0</v>
      </c>
      <c r="K177" s="249">
        <v>0</v>
      </c>
      <c r="L177" s="250">
        <v>0</v>
      </c>
      <c r="M177" s="250">
        <v>0</v>
      </c>
      <c r="N177" s="250">
        <v>0</v>
      </c>
      <c r="O177" s="249">
        <v>0</v>
      </c>
      <c r="P177" s="249">
        <v>0</v>
      </c>
      <c r="Q177" s="250">
        <v>0</v>
      </c>
      <c r="R177" s="252">
        <v>0</v>
      </c>
      <c r="S177" s="15"/>
      <c r="T177" s="15"/>
      <c r="U177" s="15"/>
      <c r="V177" s="15"/>
    </row>
    <row r="178" spans="1:22">
      <c r="A178" s="253"/>
      <c r="B178" s="254" t="s">
        <v>119</v>
      </c>
      <c r="C178" s="255">
        <v>0</v>
      </c>
      <c r="D178" s="256">
        <v>0</v>
      </c>
      <c r="E178" s="256">
        <v>0</v>
      </c>
      <c r="F178" s="256">
        <v>0</v>
      </c>
      <c r="G178" s="256">
        <v>0</v>
      </c>
      <c r="H178" s="256">
        <v>0</v>
      </c>
      <c r="I178" s="256">
        <v>0</v>
      </c>
      <c r="J178" s="257">
        <v>0</v>
      </c>
      <c r="K178" s="255">
        <v>0</v>
      </c>
      <c r="L178" s="256">
        <v>0</v>
      </c>
      <c r="M178" s="256">
        <v>0</v>
      </c>
      <c r="N178" s="256">
        <v>0</v>
      </c>
      <c r="O178" s="255">
        <v>0</v>
      </c>
      <c r="P178" s="255">
        <v>0</v>
      </c>
      <c r="Q178" s="256">
        <v>0</v>
      </c>
      <c r="R178" s="258">
        <v>0</v>
      </c>
      <c r="S178" s="15"/>
      <c r="T178" s="15"/>
      <c r="U178" s="15"/>
      <c r="V178" s="15"/>
    </row>
    <row r="179" spans="1:22">
      <c r="A179" s="253"/>
      <c r="B179" s="317" t="s">
        <v>120</v>
      </c>
      <c r="C179" s="318">
        <v>0</v>
      </c>
      <c r="D179" s="319">
        <v>0</v>
      </c>
      <c r="E179" s="319">
        <v>0</v>
      </c>
      <c r="F179" s="319">
        <v>0</v>
      </c>
      <c r="G179" s="319">
        <v>0</v>
      </c>
      <c r="H179" s="319">
        <v>0</v>
      </c>
      <c r="I179" s="319">
        <v>0</v>
      </c>
      <c r="J179" s="320">
        <v>0</v>
      </c>
      <c r="K179" s="318">
        <v>0</v>
      </c>
      <c r="L179" s="319">
        <v>0</v>
      </c>
      <c r="M179" s="319">
        <v>0</v>
      </c>
      <c r="N179" s="319">
        <v>0</v>
      </c>
      <c r="O179" s="318">
        <v>0</v>
      </c>
      <c r="P179" s="321">
        <v>0</v>
      </c>
      <c r="Q179" s="319">
        <v>0</v>
      </c>
      <c r="R179" s="322">
        <v>0</v>
      </c>
      <c r="S179" s="15"/>
      <c r="T179" s="15"/>
      <c r="U179" s="15"/>
      <c r="V179" s="15"/>
    </row>
    <row r="180" spans="1:22">
      <c r="A180" s="253"/>
      <c r="B180" s="234" t="s">
        <v>121</v>
      </c>
      <c r="C180" s="249">
        <v>0</v>
      </c>
      <c r="D180" s="250">
        <v>0</v>
      </c>
      <c r="E180" s="250">
        <v>0</v>
      </c>
      <c r="F180" s="250">
        <v>0</v>
      </c>
      <c r="G180" s="250">
        <v>0</v>
      </c>
      <c r="H180" s="250">
        <v>0</v>
      </c>
      <c r="I180" s="250">
        <v>0</v>
      </c>
      <c r="J180" s="251">
        <v>0</v>
      </c>
      <c r="K180" s="249">
        <v>0</v>
      </c>
      <c r="L180" s="250">
        <v>0</v>
      </c>
      <c r="M180" s="250">
        <v>0</v>
      </c>
      <c r="N180" s="250">
        <v>0</v>
      </c>
      <c r="O180" s="249">
        <v>0</v>
      </c>
      <c r="P180" s="249">
        <v>0</v>
      </c>
      <c r="Q180" s="250">
        <v>0</v>
      </c>
      <c r="R180" s="252">
        <v>0</v>
      </c>
      <c r="S180" s="15"/>
      <c r="T180" s="15"/>
      <c r="U180" s="15"/>
      <c r="V180" s="15"/>
    </row>
    <row r="181" spans="1:22">
      <c r="A181" s="253"/>
      <c r="B181" s="254" t="s">
        <v>122</v>
      </c>
      <c r="C181" s="255">
        <v>0</v>
      </c>
      <c r="D181" s="256">
        <v>0</v>
      </c>
      <c r="E181" s="256">
        <v>0</v>
      </c>
      <c r="F181" s="256">
        <v>0</v>
      </c>
      <c r="G181" s="256">
        <v>0</v>
      </c>
      <c r="H181" s="256">
        <v>0</v>
      </c>
      <c r="I181" s="256">
        <v>0</v>
      </c>
      <c r="J181" s="257">
        <v>0</v>
      </c>
      <c r="K181" s="255">
        <v>0</v>
      </c>
      <c r="L181" s="256">
        <v>0</v>
      </c>
      <c r="M181" s="256">
        <v>0</v>
      </c>
      <c r="N181" s="256">
        <v>0</v>
      </c>
      <c r="O181" s="255">
        <v>0</v>
      </c>
      <c r="P181" s="255">
        <v>0</v>
      </c>
      <c r="Q181" s="256">
        <v>0</v>
      </c>
      <c r="R181" s="258">
        <v>0</v>
      </c>
      <c r="S181" s="15"/>
      <c r="T181" s="15"/>
      <c r="U181" s="15"/>
      <c r="V181" s="15"/>
    </row>
    <row r="182" spans="1:22">
      <c r="A182" s="253"/>
      <c r="B182" s="317" t="s">
        <v>123</v>
      </c>
      <c r="C182" s="318">
        <v>0</v>
      </c>
      <c r="D182" s="319">
        <v>0</v>
      </c>
      <c r="E182" s="319">
        <v>0</v>
      </c>
      <c r="F182" s="319">
        <v>0</v>
      </c>
      <c r="G182" s="319">
        <v>0</v>
      </c>
      <c r="H182" s="319">
        <v>0</v>
      </c>
      <c r="I182" s="319">
        <v>0</v>
      </c>
      <c r="J182" s="320">
        <v>0</v>
      </c>
      <c r="K182" s="318">
        <v>0</v>
      </c>
      <c r="L182" s="319">
        <v>0</v>
      </c>
      <c r="M182" s="319">
        <v>0</v>
      </c>
      <c r="N182" s="319">
        <v>0</v>
      </c>
      <c r="O182" s="318">
        <v>0</v>
      </c>
      <c r="P182" s="321">
        <v>0</v>
      </c>
      <c r="Q182" s="319">
        <v>0</v>
      </c>
      <c r="R182" s="322">
        <v>0</v>
      </c>
      <c r="S182" s="15"/>
      <c r="T182" s="15"/>
      <c r="U182" s="15"/>
      <c r="V182" s="15"/>
    </row>
    <row r="183" spans="1:22">
      <c r="A183" s="253"/>
      <c r="B183" s="234" t="s">
        <v>124</v>
      </c>
      <c r="C183" s="249">
        <v>0</v>
      </c>
      <c r="D183" s="250">
        <v>0</v>
      </c>
      <c r="E183" s="250">
        <v>0</v>
      </c>
      <c r="F183" s="250">
        <v>0</v>
      </c>
      <c r="G183" s="250">
        <v>0</v>
      </c>
      <c r="H183" s="250">
        <v>0</v>
      </c>
      <c r="I183" s="250">
        <v>0</v>
      </c>
      <c r="J183" s="251">
        <v>0</v>
      </c>
      <c r="K183" s="249">
        <v>0</v>
      </c>
      <c r="L183" s="250">
        <v>0</v>
      </c>
      <c r="M183" s="250">
        <v>0</v>
      </c>
      <c r="N183" s="250">
        <v>0</v>
      </c>
      <c r="O183" s="249">
        <v>0</v>
      </c>
      <c r="P183" s="249">
        <v>0</v>
      </c>
      <c r="Q183" s="250">
        <v>0</v>
      </c>
      <c r="R183" s="252">
        <v>0</v>
      </c>
      <c r="S183" s="15"/>
      <c r="T183" s="15"/>
      <c r="U183" s="15"/>
      <c r="V183" s="15"/>
    </row>
    <row r="184" spans="1:22">
      <c r="A184" s="253"/>
      <c r="B184" s="254" t="s">
        <v>125</v>
      </c>
      <c r="C184" s="255">
        <v>0</v>
      </c>
      <c r="D184" s="256">
        <v>0</v>
      </c>
      <c r="E184" s="256">
        <v>0</v>
      </c>
      <c r="F184" s="256">
        <v>0</v>
      </c>
      <c r="G184" s="256">
        <v>0</v>
      </c>
      <c r="H184" s="256">
        <v>0</v>
      </c>
      <c r="I184" s="256">
        <v>0</v>
      </c>
      <c r="J184" s="257">
        <v>0</v>
      </c>
      <c r="K184" s="255">
        <v>0</v>
      </c>
      <c r="L184" s="256">
        <v>0</v>
      </c>
      <c r="M184" s="256">
        <v>0</v>
      </c>
      <c r="N184" s="256">
        <v>0</v>
      </c>
      <c r="O184" s="255">
        <v>0</v>
      </c>
      <c r="P184" s="255">
        <v>0</v>
      </c>
      <c r="Q184" s="256">
        <v>0</v>
      </c>
      <c r="R184" s="258">
        <v>0</v>
      </c>
      <c r="S184" s="15"/>
      <c r="T184" s="15"/>
      <c r="U184" s="15"/>
      <c r="V184" s="15"/>
    </row>
    <row r="185" spans="1:22">
      <c r="A185" s="260"/>
      <c r="B185" s="317" t="s">
        <v>126</v>
      </c>
      <c r="C185" s="318">
        <v>0</v>
      </c>
      <c r="D185" s="319">
        <v>0</v>
      </c>
      <c r="E185" s="319">
        <v>0</v>
      </c>
      <c r="F185" s="319">
        <v>0</v>
      </c>
      <c r="G185" s="319">
        <v>0</v>
      </c>
      <c r="H185" s="319">
        <v>0</v>
      </c>
      <c r="I185" s="319">
        <v>0</v>
      </c>
      <c r="J185" s="320">
        <v>0</v>
      </c>
      <c r="K185" s="318">
        <v>0</v>
      </c>
      <c r="L185" s="319">
        <v>0</v>
      </c>
      <c r="M185" s="319">
        <v>0</v>
      </c>
      <c r="N185" s="319">
        <v>0</v>
      </c>
      <c r="O185" s="318">
        <v>0</v>
      </c>
      <c r="P185" s="321">
        <v>0</v>
      </c>
      <c r="Q185" s="319">
        <v>0</v>
      </c>
      <c r="R185" s="322">
        <v>0</v>
      </c>
      <c r="S185" s="15"/>
      <c r="T185" s="15"/>
      <c r="U185" s="15"/>
      <c r="V185" s="15"/>
    </row>
    <row r="186" spans="1:22">
      <c r="A186" s="248" t="s">
        <v>75</v>
      </c>
      <c r="B186" s="234" t="s">
        <v>91</v>
      </c>
      <c r="C186" s="249">
        <v>0.9442861915939893</v>
      </c>
      <c r="D186" s="250">
        <v>0</v>
      </c>
      <c r="E186" s="250">
        <v>0.78097685922064763</v>
      </c>
      <c r="F186" s="250">
        <v>0.86429200685693064</v>
      </c>
      <c r="G186" s="250">
        <v>0</v>
      </c>
      <c r="H186" s="250">
        <v>0</v>
      </c>
      <c r="I186" s="250">
        <v>0</v>
      </c>
      <c r="J186" s="251">
        <v>0.85295181262260222</v>
      </c>
      <c r="K186" s="249">
        <v>0</v>
      </c>
      <c r="L186" s="250">
        <v>0.70766727826534948</v>
      </c>
      <c r="M186" s="250">
        <v>0.63520825108566914</v>
      </c>
      <c r="N186" s="250">
        <v>0.67444937755723866</v>
      </c>
      <c r="O186" s="249">
        <v>0.66173089905517568</v>
      </c>
      <c r="P186" s="249">
        <v>0.91870314760821037</v>
      </c>
      <c r="Q186" s="250">
        <v>0</v>
      </c>
      <c r="R186" s="252">
        <v>0.91870314760821037</v>
      </c>
      <c r="S186" s="15"/>
      <c r="T186" s="15"/>
      <c r="U186" s="15"/>
      <c r="V186" s="15"/>
    </row>
    <row r="187" spans="1:22">
      <c r="A187" s="253"/>
      <c r="B187" s="254" t="s">
        <v>92</v>
      </c>
      <c r="C187" s="255">
        <v>0.93507322081883704</v>
      </c>
      <c r="D187" s="256">
        <v>0</v>
      </c>
      <c r="E187" s="256">
        <v>0.77311807706483715</v>
      </c>
      <c r="F187" s="256">
        <v>0.83975156838143039</v>
      </c>
      <c r="G187" s="256">
        <v>0</v>
      </c>
      <c r="H187" s="256">
        <v>0</v>
      </c>
      <c r="I187" s="256">
        <v>0</v>
      </c>
      <c r="J187" s="257">
        <v>0.8429967100809278</v>
      </c>
      <c r="K187" s="255">
        <v>0</v>
      </c>
      <c r="L187" s="256">
        <v>0.68217773773208712</v>
      </c>
      <c r="M187" s="256">
        <v>0.61009883371502427</v>
      </c>
      <c r="N187" s="256">
        <v>0.62329411553866965</v>
      </c>
      <c r="O187" s="255">
        <v>0.63465089562023014</v>
      </c>
      <c r="P187" s="255">
        <v>0.89327677595250288</v>
      </c>
      <c r="Q187" s="256">
        <v>0</v>
      </c>
      <c r="R187" s="258">
        <v>0.89327677595250288</v>
      </c>
      <c r="S187" s="15"/>
      <c r="T187" s="15"/>
      <c r="U187" s="15"/>
      <c r="V187" s="15"/>
    </row>
    <row r="188" spans="1:22">
      <c r="A188" s="253"/>
      <c r="B188" s="317" t="s">
        <v>93</v>
      </c>
      <c r="C188" s="318">
        <v>-0.92129707751522627</v>
      </c>
      <c r="D188" s="319">
        <v>0</v>
      </c>
      <c r="E188" s="319">
        <v>-0.78587821558104842</v>
      </c>
      <c r="F188" s="319">
        <v>-2.4540438475500248</v>
      </c>
      <c r="G188" s="319">
        <v>0</v>
      </c>
      <c r="H188" s="319">
        <v>0</v>
      </c>
      <c r="I188" s="319">
        <v>0</v>
      </c>
      <c r="J188" s="320">
        <v>-0.9955102541674421</v>
      </c>
      <c r="K188" s="318">
        <v>0</v>
      </c>
      <c r="L188" s="319">
        <v>-2.5489540533262356</v>
      </c>
      <c r="M188" s="319">
        <v>-2.5109417370644871</v>
      </c>
      <c r="N188" s="319">
        <v>-5.1155262018569019</v>
      </c>
      <c r="O188" s="318">
        <v>-2.7080003434945543</v>
      </c>
      <c r="P188" s="321">
        <v>-2.5426371655707491</v>
      </c>
      <c r="Q188" s="319">
        <v>0</v>
      </c>
      <c r="R188" s="322">
        <v>-2.5426371655707491</v>
      </c>
      <c r="S188" s="15"/>
      <c r="T188" s="15"/>
      <c r="U188" s="15"/>
      <c r="V188" s="15"/>
    </row>
    <row r="189" spans="1:22">
      <c r="A189" s="253"/>
      <c r="B189" s="234" t="s">
        <v>94</v>
      </c>
      <c r="C189" s="249">
        <v>1.2723172215273375E-2</v>
      </c>
      <c r="D189" s="250">
        <v>0</v>
      </c>
      <c r="E189" s="250">
        <v>7.4612463674730761E-2</v>
      </c>
      <c r="F189" s="250">
        <v>3.4467872569516778E-2</v>
      </c>
      <c r="G189" s="250">
        <v>0</v>
      </c>
      <c r="H189" s="250">
        <v>0</v>
      </c>
      <c r="I189" s="250">
        <v>0</v>
      </c>
      <c r="J189" s="251">
        <v>4.6012563609718019E-2</v>
      </c>
      <c r="K189" s="249">
        <v>0</v>
      </c>
      <c r="L189" s="250">
        <v>7.7363316732797657E-2</v>
      </c>
      <c r="M189" s="250">
        <v>7.8434662455586265E-2</v>
      </c>
      <c r="N189" s="250">
        <v>1.1099503786889528E-2</v>
      </c>
      <c r="O189" s="249">
        <v>7.348157488557723E-2</v>
      </c>
      <c r="P189" s="249">
        <v>5.8894956119622203E-3</v>
      </c>
      <c r="Q189" s="250">
        <v>0</v>
      </c>
      <c r="R189" s="252">
        <v>5.8894956119622203E-3</v>
      </c>
      <c r="S189" s="15"/>
      <c r="T189" s="15"/>
      <c r="U189" s="15"/>
      <c r="V189" s="15"/>
    </row>
    <row r="190" spans="1:22">
      <c r="A190" s="253"/>
      <c r="B190" s="254" t="s">
        <v>95</v>
      </c>
      <c r="C190" s="255">
        <v>1.2897000808521958E-2</v>
      </c>
      <c r="D190" s="256">
        <v>0</v>
      </c>
      <c r="E190" s="256">
        <v>7.6579867959055664E-2</v>
      </c>
      <c r="F190" s="256">
        <v>3.1947302383939773E-2</v>
      </c>
      <c r="G190" s="256">
        <v>0</v>
      </c>
      <c r="H190" s="256">
        <v>0</v>
      </c>
      <c r="I190" s="256">
        <v>0</v>
      </c>
      <c r="J190" s="257">
        <v>4.6265344054687636E-2</v>
      </c>
      <c r="K190" s="255">
        <v>0</v>
      </c>
      <c r="L190" s="256">
        <v>7.7553546033848259E-2</v>
      </c>
      <c r="M190" s="256">
        <v>7.4646755889365951E-2</v>
      </c>
      <c r="N190" s="256">
        <v>8.3244473516787786E-3</v>
      </c>
      <c r="O190" s="255">
        <v>7.1202684929129539E-2</v>
      </c>
      <c r="P190" s="255">
        <v>4.7953831462695653E-3</v>
      </c>
      <c r="Q190" s="256">
        <v>0</v>
      </c>
      <c r="R190" s="258">
        <v>4.7953831462695653E-3</v>
      </c>
      <c r="S190" s="15"/>
      <c r="T190" s="15"/>
      <c r="U190" s="15"/>
      <c r="V190" s="15"/>
    </row>
    <row r="191" spans="1:22">
      <c r="A191" s="253"/>
      <c r="B191" s="317" t="s">
        <v>96</v>
      </c>
      <c r="C191" s="318">
        <v>1.7382859324858307E-2</v>
      </c>
      <c r="D191" s="319">
        <v>0</v>
      </c>
      <c r="E191" s="319">
        <v>0.19674042843249029</v>
      </c>
      <c r="F191" s="319">
        <v>-0.25205701855770046</v>
      </c>
      <c r="G191" s="319">
        <v>0</v>
      </c>
      <c r="H191" s="319">
        <v>0</v>
      </c>
      <c r="I191" s="319">
        <v>0</v>
      </c>
      <c r="J191" s="320">
        <v>2.5278044496961777E-2</v>
      </c>
      <c r="K191" s="318">
        <v>0</v>
      </c>
      <c r="L191" s="319">
        <v>1.9022930105060121E-2</v>
      </c>
      <c r="M191" s="319">
        <v>-0.37879065662203143</v>
      </c>
      <c r="N191" s="319">
        <v>-0.27750564352107493</v>
      </c>
      <c r="O191" s="318">
        <v>-0.22788899564476911</v>
      </c>
      <c r="P191" s="321">
        <v>-0.1094112465692655</v>
      </c>
      <c r="Q191" s="319">
        <v>0</v>
      </c>
      <c r="R191" s="322">
        <v>-0.1094112465692655</v>
      </c>
      <c r="S191" s="15"/>
      <c r="T191" s="15"/>
      <c r="U191" s="15"/>
      <c r="V191" s="15"/>
    </row>
    <row r="192" spans="1:22">
      <c r="A192" s="253"/>
      <c r="B192" s="234" t="s">
        <v>97</v>
      </c>
      <c r="C192" s="249">
        <v>4.0329489573873861E-2</v>
      </c>
      <c r="D192" s="250">
        <v>0</v>
      </c>
      <c r="E192" s="250">
        <v>0.11704630880766562</v>
      </c>
      <c r="F192" s="250">
        <v>0.10121753185636588</v>
      </c>
      <c r="G192" s="250">
        <v>0</v>
      </c>
      <c r="H192" s="250">
        <v>0</v>
      </c>
      <c r="I192" s="250">
        <v>0</v>
      </c>
      <c r="J192" s="251">
        <v>8.6834799036120666E-2</v>
      </c>
      <c r="K192" s="249">
        <v>0</v>
      </c>
      <c r="L192" s="250">
        <v>0.2123952674915717</v>
      </c>
      <c r="M192" s="250">
        <v>0.27369917094354518</v>
      </c>
      <c r="N192" s="250">
        <v>0.29597806215722122</v>
      </c>
      <c r="O192" s="249">
        <v>0.25505021516536658</v>
      </c>
      <c r="P192" s="249">
        <v>7.5407356779827392E-2</v>
      </c>
      <c r="Q192" s="250">
        <v>0</v>
      </c>
      <c r="R192" s="252">
        <v>7.5407356779827392E-2</v>
      </c>
      <c r="S192" s="15"/>
      <c r="T192" s="15"/>
      <c r="U192" s="15"/>
      <c r="V192" s="15"/>
    </row>
    <row r="193" spans="1:22">
      <c r="A193" s="253"/>
      <c r="B193" s="254" t="s">
        <v>98</v>
      </c>
      <c r="C193" s="255">
        <v>4.9776830100732077E-2</v>
      </c>
      <c r="D193" s="256">
        <v>0</v>
      </c>
      <c r="E193" s="256">
        <v>0.12118086764220913</v>
      </c>
      <c r="F193" s="256">
        <v>0.12827854454203264</v>
      </c>
      <c r="G193" s="256">
        <v>0</v>
      </c>
      <c r="H193" s="256">
        <v>0</v>
      </c>
      <c r="I193" s="256">
        <v>0</v>
      </c>
      <c r="J193" s="257">
        <v>9.5987295384436497E-2</v>
      </c>
      <c r="K193" s="255">
        <v>0</v>
      </c>
      <c r="L193" s="256">
        <v>0.2386638731178827</v>
      </c>
      <c r="M193" s="256">
        <v>0.30363968118663309</v>
      </c>
      <c r="N193" s="256">
        <v>0.34897266104534985</v>
      </c>
      <c r="O193" s="255">
        <v>0.28530284200960787</v>
      </c>
      <c r="P193" s="255">
        <v>0.10192784090122756</v>
      </c>
      <c r="Q193" s="256">
        <v>0</v>
      </c>
      <c r="R193" s="258">
        <v>0.10192784090122756</v>
      </c>
      <c r="S193" s="15"/>
      <c r="T193" s="15"/>
      <c r="U193" s="15"/>
      <c r="V193" s="15"/>
    </row>
    <row r="194" spans="1:22">
      <c r="A194" s="253"/>
      <c r="B194" s="317" t="s">
        <v>99</v>
      </c>
      <c r="C194" s="318">
        <v>0.94473405268582156</v>
      </c>
      <c r="D194" s="319">
        <v>0</v>
      </c>
      <c r="E194" s="319">
        <v>0.41345588345435141</v>
      </c>
      <c r="F194" s="319">
        <v>2.7061012685666754</v>
      </c>
      <c r="G194" s="319">
        <v>0</v>
      </c>
      <c r="H194" s="319">
        <v>0</v>
      </c>
      <c r="I194" s="319">
        <v>0</v>
      </c>
      <c r="J194" s="320">
        <v>0.91524963483158306</v>
      </c>
      <c r="K194" s="318">
        <v>0</v>
      </c>
      <c r="L194" s="319">
        <v>2.6268605626311006</v>
      </c>
      <c r="M194" s="319">
        <v>2.9940510243087912</v>
      </c>
      <c r="N194" s="319">
        <v>5.299459888812863</v>
      </c>
      <c r="O194" s="318">
        <v>3.0252626844241295</v>
      </c>
      <c r="P194" s="321">
        <v>2.6520484121400165</v>
      </c>
      <c r="Q194" s="319">
        <v>0</v>
      </c>
      <c r="R194" s="322">
        <v>2.6520484121400165</v>
      </c>
      <c r="S194" s="15"/>
      <c r="T194" s="15"/>
      <c r="U194" s="15"/>
      <c r="V194" s="15"/>
    </row>
    <row r="195" spans="1:22">
      <c r="A195" s="253"/>
      <c r="B195" s="234" t="s">
        <v>100</v>
      </c>
      <c r="C195" s="249">
        <v>1.4017870911365077E-3</v>
      </c>
      <c r="D195" s="250">
        <v>0</v>
      </c>
      <c r="E195" s="250">
        <v>2.6284828579992529E-2</v>
      </c>
      <c r="F195" s="250">
        <v>0</v>
      </c>
      <c r="G195" s="250">
        <v>0</v>
      </c>
      <c r="H195" s="250">
        <v>0</v>
      </c>
      <c r="I195" s="250">
        <v>0</v>
      </c>
      <c r="J195" s="251">
        <v>1.3219425959237842E-2</v>
      </c>
      <c r="K195" s="249">
        <v>0</v>
      </c>
      <c r="L195" s="250">
        <v>2.5741375102811847E-3</v>
      </c>
      <c r="M195" s="250">
        <v>1.2657915515199368E-2</v>
      </c>
      <c r="N195" s="250">
        <v>1.847305649865065E-2</v>
      </c>
      <c r="O195" s="249">
        <v>9.7373108938804999E-3</v>
      </c>
      <c r="P195" s="249">
        <v>0</v>
      </c>
      <c r="Q195" s="250">
        <v>0</v>
      </c>
      <c r="R195" s="252">
        <v>0</v>
      </c>
      <c r="S195" s="15"/>
      <c r="T195" s="15"/>
      <c r="U195" s="15"/>
      <c r="V195" s="15"/>
    </row>
    <row r="196" spans="1:22">
      <c r="A196" s="253"/>
      <c r="B196" s="254" t="s">
        <v>101</v>
      </c>
      <c r="C196" s="255">
        <v>2.249800230541563E-3</v>
      </c>
      <c r="D196" s="256">
        <v>0</v>
      </c>
      <c r="E196" s="256">
        <v>2.7573327341269584E-2</v>
      </c>
      <c r="F196" s="256">
        <v>0</v>
      </c>
      <c r="G196" s="256">
        <v>0</v>
      </c>
      <c r="H196" s="256">
        <v>0</v>
      </c>
      <c r="I196" s="256">
        <v>0</v>
      </c>
      <c r="J196" s="257">
        <v>1.4006251483631238E-2</v>
      </c>
      <c r="K196" s="255">
        <v>0</v>
      </c>
      <c r="L196" s="256">
        <v>1.604843116181957E-3</v>
      </c>
      <c r="M196" s="256">
        <v>1.1614729208976741E-2</v>
      </c>
      <c r="N196" s="256">
        <v>1.940877606430165E-2</v>
      </c>
      <c r="O196" s="255">
        <v>8.8435774410324155E-3</v>
      </c>
      <c r="P196" s="255">
        <v>0</v>
      </c>
      <c r="Q196" s="256">
        <v>0</v>
      </c>
      <c r="R196" s="258">
        <v>0</v>
      </c>
      <c r="S196" s="15"/>
      <c r="T196" s="15"/>
      <c r="U196" s="15"/>
      <c r="V196" s="15"/>
    </row>
    <row r="197" spans="1:22">
      <c r="A197" s="253"/>
      <c r="B197" s="317" t="s">
        <v>102</v>
      </c>
      <c r="C197" s="318">
        <v>8.4801313940505538E-2</v>
      </c>
      <c r="D197" s="319">
        <v>0</v>
      </c>
      <c r="E197" s="319">
        <v>0.12884987612770543</v>
      </c>
      <c r="F197" s="319">
        <v>0</v>
      </c>
      <c r="G197" s="319">
        <v>0</v>
      </c>
      <c r="H197" s="319">
        <v>0</v>
      </c>
      <c r="I197" s="319">
        <v>0</v>
      </c>
      <c r="J197" s="320">
        <v>7.8682552439339637E-2</v>
      </c>
      <c r="K197" s="318">
        <v>0</v>
      </c>
      <c r="L197" s="319">
        <v>-9.6929439409922769E-2</v>
      </c>
      <c r="M197" s="319">
        <v>-0.10431863062226268</v>
      </c>
      <c r="N197" s="319">
        <v>9.3571956565099978E-2</v>
      </c>
      <c r="O197" s="318">
        <v>-8.9373345284808448E-2</v>
      </c>
      <c r="P197" s="321">
        <v>0</v>
      </c>
      <c r="Q197" s="319">
        <v>0</v>
      </c>
      <c r="R197" s="322">
        <v>0</v>
      </c>
      <c r="S197" s="15"/>
      <c r="T197" s="15"/>
      <c r="U197" s="15"/>
      <c r="V197" s="15"/>
    </row>
    <row r="198" spans="1:22">
      <c r="A198" s="253"/>
      <c r="B198" s="234" t="s">
        <v>103</v>
      </c>
      <c r="C198" s="249">
        <v>1.259359525726916E-3</v>
      </c>
      <c r="D198" s="250">
        <v>0</v>
      </c>
      <c r="E198" s="250">
        <v>1.0795397169634398E-3</v>
      </c>
      <c r="F198" s="250">
        <v>2.2588717186750964E-5</v>
      </c>
      <c r="G198" s="250">
        <v>0</v>
      </c>
      <c r="H198" s="250">
        <v>0</v>
      </c>
      <c r="I198" s="250">
        <v>0</v>
      </c>
      <c r="J198" s="251">
        <v>9.8139877232129879E-4</v>
      </c>
      <c r="K198" s="249">
        <v>0</v>
      </c>
      <c r="L198" s="250">
        <v>0</v>
      </c>
      <c r="M198" s="250">
        <v>0</v>
      </c>
      <c r="N198" s="250">
        <v>0</v>
      </c>
      <c r="O198" s="249">
        <v>0</v>
      </c>
      <c r="P198" s="249">
        <v>0</v>
      </c>
      <c r="Q198" s="250">
        <v>0</v>
      </c>
      <c r="R198" s="252">
        <v>0</v>
      </c>
      <c r="S198" s="15"/>
      <c r="T198" s="15"/>
      <c r="U198" s="15"/>
      <c r="V198" s="15"/>
    </row>
    <row r="199" spans="1:22">
      <c r="A199" s="253"/>
      <c r="B199" s="254" t="s">
        <v>104</v>
      </c>
      <c r="C199" s="255">
        <v>3.1480413673622616E-6</v>
      </c>
      <c r="D199" s="256">
        <v>0</v>
      </c>
      <c r="E199" s="256">
        <v>1.5478599926284683E-3</v>
      </c>
      <c r="F199" s="256">
        <v>2.258469259723965E-5</v>
      </c>
      <c r="G199" s="256">
        <v>0</v>
      </c>
      <c r="H199" s="256">
        <v>0</v>
      </c>
      <c r="I199" s="256">
        <v>0</v>
      </c>
      <c r="J199" s="257">
        <v>7.4439899631682815E-4</v>
      </c>
      <c r="K199" s="255">
        <v>0</v>
      </c>
      <c r="L199" s="256">
        <v>0</v>
      </c>
      <c r="M199" s="256">
        <v>0</v>
      </c>
      <c r="N199" s="256">
        <v>0</v>
      </c>
      <c r="O199" s="255">
        <v>0</v>
      </c>
      <c r="P199" s="255">
        <v>0</v>
      </c>
      <c r="Q199" s="256">
        <v>0</v>
      </c>
      <c r="R199" s="258">
        <v>0</v>
      </c>
      <c r="S199" s="15"/>
      <c r="T199" s="15"/>
      <c r="U199" s="15"/>
      <c r="V199" s="15"/>
    </row>
    <row r="200" spans="1:22">
      <c r="A200" s="253"/>
      <c r="B200" s="317" t="s">
        <v>105</v>
      </c>
      <c r="C200" s="318">
        <v>-0.12562114843595537</v>
      </c>
      <c r="D200" s="319">
        <v>0</v>
      </c>
      <c r="E200" s="319">
        <v>4.683202756650285E-2</v>
      </c>
      <c r="F200" s="319">
        <v>-4.0245895113135853E-7</v>
      </c>
      <c r="G200" s="319">
        <v>0</v>
      </c>
      <c r="H200" s="319">
        <v>0</v>
      </c>
      <c r="I200" s="319">
        <v>0</v>
      </c>
      <c r="J200" s="320">
        <v>-2.3699977600447064E-2</v>
      </c>
      <c r="K200" s="318">
        <v>0</v>
      </c>
      <c r="L200" s="319">
        <v>0</v>
      </c>
      <c r="M200" s="319">
        <v>0</v>
      </c>
      <c r="N200" s="319">
        <v>0</v>
      </c>
      <c r="O200" s="318">
        <v>0</v>
      </c>
      <c r="P200" s="321">
        <v>0</v>
      </c>
      <c r="Q200" s="319">
        <v>0</v>
      </c>
      <c r="R200" s="322">
        <v>0</v>
      </c>
      <c r="S200" s="15"/>
      <c r="T200" s="15"/>
      <c r="U200" s="15"/>
      <c r="V200" s="15"/>
    </row>
    <row r="201" spans="1:22">
      <c r="A201" s="253"/>
      <c r="B201" s="234" t="s">
        <v>106</v>
      </c>
      <c r="C201" s="249">
        <v>0</v>
      </c>
      <c r="D201" s="250">
        <v>0</v>
      </c>
      <c r="E201" s="250">
        <v>0</v>
      </c>
      <c r="F201" s="250">
        <v>0</v>
      </c>
      <c r="G201" s="250">
        <v>0</v>
      </c>
      <c r="H201" s="250">
        <v>0</v>
      </c>
      <c r="I201" s="250">
        <v>0</v>
      </c>
      <c r="J201" s="251">
        <v>0</v>
      </c>
      <c r="K201" s="249">
        <v>0</v>
      </c>
      <c r="L201" s="250">
        <v>0</v>
      </c>
      <c r="M201" s="250">
        <v>0</v>
      </c>
      <c r="N201" s="250">
        <v>0</v>
      </c>
      <c r="O201" s="249">
        <v>0</v>
      </c>
      <c r="P201" s="249">
        <v>0</v>
      </c>
      <c r="Q201" s="250">
        <v>0</v>
      </c>
      <c r="R201" s="252">
        <v>0</v>
      </c>
      <c r="S201" s="15"/>
      <c r="T201" s="15"/>
      <c r="U201" s="15"/>
      <c r="V201" s="15"/>
    </row>
    <row r="202" spans="1:22">
      <c r="A202" s="253"/>
      <c r="B202" s="254" t="s">
        <v>107</v>
      </c>
      <c r="C202" s="255">
        <v>0</v>
      </c>
      <c r="D202" s="256">
        <v>0</v>
      </c>
      <c r="E202" s="256">
        <v>0</v>
      </c>
      <c r="F202" s="256">
        <v>0</v>
      </c>
      <c r="G202" s="256">
        <v>0</v>
      </c>
      <c r="H202" s="256">
        <v>0</v>
      </c>
      <c r="I202" s="256">
        <v>0</v>
      </c>
      <c r="J202" s="257">
        <v>0</v>
      </c>
      <c r="K202" s="255">
        <v>0</v>
      </c>
      <c r="L202" s="256">
        <v>0</v>
      </c>
      <c r="M202" s="256">
        <v>0</v>
      </c>
      <c r="N202" s="256">
        <v>0</v>
      </c>
      <c r="O202" s="255">
        <v>0</v>
      </c>
      <c r="P202" s="255">
        <v>0</v>
      </c>
      <c r="Q202" s="256">
        <v>0</v>
      </c>
      <c r="R202" s="258">
        <v>0</v>
      </c>
      <c r="S202" s="15"/>
      <c r="T202" s="15"/>
      <c r="U202" s="15"/>
      <c r="V202" s="15"/>
    </row>
    <row r="203" spans="1:22">
      <c r="A203" s="253"/>
      <c r="B203" s="317" t="s">
        <v>108</v>
      </c>
      <c r="C203" s="318">
        <v>0</v>
      </c>
      <c r="D203" s="319">
        <v>0</v>
      </c>
      <c r="E203" s="319">
        <v>0</v>
      </c>
      <c r="F203" s="319">
        <v>0</v>
      </c>
      <c r="G203" s="319">
        <v>0</v>
      </c>
      <c r="H203" s="319">
        <v>0</v>
      </c>
      <c r="I203" s="319">
        <v>0</v>
      </c>
      <c r="J203" s="320">
        <v>0</v>
      </c>
      <c r="K203" s="318">
        <v>0</v>
      </c>
      <c r="L203" s="319">
        <v>0</v>
      </c>
      <c r="M203" s="319">
        <v>0</v>
      </c>
      <c r="N203" s="319">
        <v>0</v>
      </c>
      <c r="O203" s="318">
        <v>0</v>
      </c>
      <c r="P203" s="321">
        <v>0</v>
      </c>
      <c r="Q203" s="319">
        <v>0</v>
      </c>
      <c r="R203" s="322">
        <v>0</v>
      </c>
      <c r="S203" s="15"/>
      <c r="T203" s="15"/>
      <c r="U203" s="15"/>
      <c r="V203" s="15"/>
    </row>
    <row r="204" spans="1:22">
      <c r="A204" s="253"/>
      <c r="B204" s="234" t="s">
        <v>109</v>
      </c>
      <c r="C204" s="249">
        <v>0.87605312279285641</v>
      </c>
      <c r="D204" s="250">
        <v>0</v>
      </c>
      <c r="E204" s="250">
        <v>0.47048609747091036</v>
      </c>
      <c r="F204" s="250">
        <v>0.75614978466629357</v>
      </c>
      <c r="G204" s="250">
        <v>0</v>
      </c>
      <c r="H204" s="250">
        <v>0</v>
      </c>
      <c r="I204" s="250">
        <v>0</v>
      </c>
      <c r="J204" s="251">
        <v>0.70309890687986687</v>
      </c>
      <c r="K204" s="249">
        <v>0</v>
      </c>
      <c r="L204" s="250">
        <v>0</v>
      </c>
      <c r="M204" s="250">
        <v>0</v>
      </c>
      <c r="N204" s="250">
        <v>0</v>
      </c>
      <c r="O204" s="249">
        <v>0</v>
      </c>
      <c r="P204" s="249">
        <v>0</v>
      </c>
      <c r="Q204" s="250">
        <v>0</v>
      </c>
      <c r="R204" s="252">
        <v>0</v>
      </c>
      <c r="S204" s="15"/>
      <c r="T204" s="15"/>
      <c r="U204" s="15"/>
      <c r="V204" s="15"/>
    </row>
    <row r="205" spans="1:22">
      <c r="A205" s="253"/>
      <c r="B205" s="254" t="s">
        <v>110</v>
      </c>
      <c r="C205" s="255">
        <v>0.86570612399362756</v>
      </c>
      <c r="D205" s="256">
        <v>0</v>
      </c>
      <c r="E205" s="256">
        <v>0.45775277168519168</v>
      </c>
      <c r="F205" s="256">
        <v>0.72952700317684438</v>
      </c>
      <c r="G205" s="256">
        <v>0</v>
      </c>
      <c r="H205" s="256">
        <v>0</v>
      </c>
      <c r="I205" s="256">
        <v>0</v>
      </c>
      <c r="J205" s="257">
        <v>0.68344099143344705</v>
      </c>
      <c r="K205" s="255">
        <v>0</v>
      </c>
      <c r="L205" s="256">
        <v>0</v>
      </c>
      <c r="M205" s="256">
        <v>0</v>
      </c>
      <c r="N205" s="256">
        <v>0</v>
      </c>
      <c r="O205" s="255">
        <v>0</v>
      </c>
      <c r="P205" s="255">
        <v>0</v>
      </c>
      <c r="Q205" s="256">
        <v>0</v>
      </c>
      <c r="R205" s="258">
        <v>0</v>
      </c>
      <c r="S205" s="15"/>
      <c r="T205" s="15"/>
      <c r="U205" s="15"/>
      <c r="V205" s="15"/>
    </row>
    <row r="206" spans="1:22">
      <c r="A206" s="253"/>
      <c r="B206" s="317" t="s">
        <v>111</v>
      </c>
      <c r="C206" s="318">
        <v>-1.0346998799228846</v>
      </c>
      <c r="D206" s="319">
        <v>0</v>
      </c>
      <c r="E206" s="319">
        <v>-1.2733325785718674</v>
      </c>
      <c r="F206" s="319">
        <v>-2.6622781489449188</v>
      </c>
      <c r="G206" s="319">
        <v>0</v>
      </c>
      <c r="H206" s="319">
        <v>0</v>
      </c>
      <c r="I206" s="319">
        <v>0</v>
      </c>
      <c r="J206" s="320">
        <v>-1.9657915446419816</v>
      </c>
      <c r="K206" s="318">
        <v>0</v>
      </c>
      <c r="L206" s="319">
        <v>0</v>
      </c>
      <c r="M206" s="319">
        <v>0</v>
      </c>
      <c r="N206" s="319">
        <v>0</v>
      </c>
      <c r="O206" s="318">
        <v>0</v>
      </c>
      <c r="P206" s="321">
        <v>0</v>
      </c>
      <c r="Q206" s="319">
        <v>0</v>
      </c>
      <c r="R206" s="322">
        <v>0</v>
      </c>
      <c r="S206" s="15"/>
      <c r="T206" s="15"/>
      <c r="U206" s="15"/>
      <c r="V206" s="15"/>
    </row>
    <row r="207" spans="1:22">
      <c r="A207" s="253"/>
      <c r="B207" s="234" t="s">
        <v>112</v>
      </c>
      <c r="C207" s="249">
        <v>4.5013116738976892E-2</v>
      </c>
      <c r="D207" s="250">
        <v>0</v>
      </c>
      <c r="E207" s="250">
        <v>6.2971896385106738E-2</v>
      </c>
      <c r="F207" s="250">
        <v>2.4964111048930631E-2</v>
      </c>
      <c r="G207" s="250">
        <v>0</v>
      </c>
      <c r="H207" s="250">
        <v>0</v>
      </c>
      <c r="I207" s="250">
        <v>0</v>
      </c>
      <c r="J207" s="251">
        <v>4.9484025275726859E-2</v>
      </c>
      <c r="K207" s="249">
        <v>0</v>
      </c>
      <c r="L207" s="250">
        <v>0</v>
      </c>
      <c r="M207" s="250">
        <v>0</v>
      </c>
      <c r="N207" s="250">
        <v>0</v>
      </c>
      <c r="O207" s="249">
        <v>0</v>
      </c>
      <c r="P207" s="249">
        <v>0</v>
      </c>
      <c r="Q207" s="250">
        <v>0</v>
      </c>
      <c r="R207" s="252">
        <v>0</v>
      </c>
      <c r="S207" s="15"/>
      <c r="T207" s="15"/>
      <c r="U207" s="15"/>
      <c r="V207" s="15"/>
    </row>
    <row r="208" spans="1:22">
      <c r="A208" s="253"/>
      <c r="B208" s="254" t="s">
        <v>113</v>
      </c>
      <c r="C208" s="255">
        <v>3.6699403653765159E-2</v>
      </c>
      <c r="D208" s="256">
        <v>0</v>
      </c>
      <c r="E208" s="256">
        <v>5.0111079323705281E-2</v>
      </c>
      <c r="F208" s="256">
        <v>2.6120720084715849E-2</v>
      </c>
      <c r="G208" s="256">
        <v>0</v>
      </c>
      <c r="H208" s="256">
        <v>0</v>
      </c>
      <c r="I208" s="256">
        <v>0</v>
      </c>
      <c r="J208" s="257">
        <v>4.0745656491063501E-2</v>
      </c>
      <c r="K208" s="255">
        <v>0</v>
      </c>
      <c r="L208" s="256">
        <v>0</v>
      </c>
      <c r="M208" s="256">
        <v>0</v>
      </c>
      <c r="N208" s="256">
        <v>0</v>
      </c>
      <c r="O208" s="255">
        <v>0</v>
      </c>
      <c r="P208" s="255">
        <v>0</v>
      </c>
      <c r="Q208" s="256">
        <v>0</v>
      </c>
      <c r="R208" s="258">
        <v>0</v>
      </c>
      <c r="S208" s="15"/>
      <c r="T208" s="15"/>
      <c r="U208" s="15"/>
      <c r="V208" s="15"/>
    </row>
    <row r="209" spans="1:22">
      <c r="A209" s="253"/>
      <c r="B209" s="317" t="s">
        <v>114</v>
      </c>
      <c r="C209" s="318">
        <v>-0.83137130852117336</v>
      </c>
      <c r="D209" s="319">
        <v>0</v>
      </c>
      <c r="E209" s="319">
        <v>-1.2860817061401457</v>
      </c>
      <c r="F209" s="319">
        <v>0.1156609035785218</v>
      </c>
      <c r="G209" s="319">
        <v>0</v>
      </c>
      <c r="H209" s="319">
        <v>0</v>
      </c>
      <c r="I209" s="319">
        <v>0</v>
      </c>
      <c r="J209" s="320">
        <v>-0.87383687846633584</v>
      </c>
      <c r="K209" s="318">
        <v>0</v>
      </c>
      <c r="L209" s="319">
        <v>0</v>
      </c>
      <c r="M209" s="319">
        <v>0</v>
      </c>
      <c r="N209" s="319">
        <v>0</v>
      </c>
      <c r="O209" s="318">
        <v>0</v>
      </c>
      <c r="P209" s="321">
        <v>0</v>
      </c>
      <c r="Q209" s="319">
        <v>0</v>
      </c>
      <c r="R209" s="322">
        <v>0</v>
      </c>
      <c r="S209" s="15"/>
      <c r="T209" s="15"/>
      <c r="U209" s="15"/>
      <c r="V209" s="15"/>
    </row>
    <row r="210" spans="1:22">
      <c r="A210" s="253"/>
      <c r="B210" s="234" t="s">
        <v>115</v>
      </c>
      <c r="C210" s="249">
        <v>7.4557310059529813E-2</v>
      </c>
      <c r="D210" s="250">
        <v>0</v>
      </c>
      <c r="E210" s="250">
        <v>0.42794962248289192</v>
      </c>
      <c r="F210" s="250">
        <v>0.21888610428477578</v>
      </c>
      <c r="G210" s="250">
        <v>0</v>
      </c>
      <c r="H210" s="250">
        <v>0</v>
      </c>
      <c r="I210" s="250">
        <v>0</v>
      </c>
      <c r="J210" s="251">
        <v>0.23027092496192125</v>
      </c>
      <c r="K210" s="249">
        <v>0</v>
      </c>
      <c r="L210" s="250">
        <v>0</v>
      </c>
      <c r="M210" s="250">
        <v>0</v>
      </c>
      <c r="N210" s="250">
        <v>0</v>
      </c>
      <c r="O210" s="249">
        <v>0</v>
      </c>
      <c r="P210" s="249">
        <v>0</v>
      </c>
      <c r="Q210" s="250">
        <v>0</v>
      </c>
      <c r="R210" s="252">
        <v>0</v>
      </c>
      <c r="S210" s="15"/>
      <c r="T210" s="15"/>
      <c r="U210" s="15"/>
      <c r="V210" s="15"/>
    </row>
    <row r="211" spans="1:22">
      <c r="A211" s="253"/>
      <c r="B211" s="254" t="s">
        <v>116</v>
      </c>
      <c r="C211" s="255">
        <v>8.865233075547363E-2</v>
      </c>
      <c r="D211" s="256">
        <v>0</v>
      </c>
      <c r="E211" s="256">
        <v>0.45752319597642083</v>
      </c>
      <c r="F211" s="256">
        <v>0.24435227673843982</v>
      </c>
      <c r="G211" s="256">
        <v>0</v>
      </c>
      <c r="H211" s="256">
        <v>0</v>
      </c>
      <c r="I211" s="256">
        <v>0</v>
      </c>
      <c r="J211" s="257">
        <v>0.25766520445534885</v>
      </c>
      <c r="K211" s="255">
        <v>0</v>
      </c>
      <c r="L211" s="256">
        <v>0</v>
      </c>
      <c r="M211" s="256">
        <v>0</v>
      </c>
      <c r="N211" s="256">
        <v>0</v>
      </c>
      <c r="O211" s="255">
        <v>0</v>
      </c>
      <c r="P211" s="255">
        <v>0</v>
      </c>
      <c r="Q211" s="256">
        <v>0</v>
      </c>
      <c r="R211" s="258">
        <v>0</v>
      </c>
      <c r="S211" s="15"/>
      <c r="T211" s="15"/>
      <c r="U211" s="15"/>
      <c r="V211" s="15"/>
    </row>
    <row r="212" spans="1:22">
      <c r="A212" s="253"/>
      <c r="B212" s="317" t="s">
        <v>117</v>
      </c>
      <c r="C212" s="318">
        <v>1.4095020695943816</v>
      </c>
      <c r="D212" s="319">
        <v>0</v>
      </c>
      <c r="E212" s="319">
        <v>2.9573573493528906</v>
      </c>
      <c r="F212" s="319">
        <v>2.5466172453664031</v>
      </c>
      <c r="G212" s="319">
        <v>0</v>
      </c>
      <c r="H212" s="319">
        <v>0</v>
      </c>
      <c r="I212" s="319">
        <v>0</v>
      </c>
      <c r="J212" s="320">
        <v>2.73942794934276</v>
      </c>
      <c r="K212" s="318">
        <v>0</v>
      </c>
      <c r="L212" s="319">
        <v>0</v>
      </c>
      <c r="M212" s="319">
        <v>0</v>
      </c>
      <c r="N212" s="319">
        <v>0</v>
      </c>
      <c r="O212" s="318">
        <v>0</v>
      </c>
      <c r="P212" s="321">
        <v>0</v>
      </c>
      <c r="Q212" s="319">
        <v>0</v>
      </c>
      <c r="R212" s="322">
        <v>0</v>
      </c>
      <c r="S212" s="15"/>
      <c r="T212" s="15"/>
      <c r="U212" s="15"/>
      <c r="V212" s="15"/>
    </row>
    <row r="213" spans="1:22">
      <c r="A213" s="253"/>
      <c r="B213" s="234" t="s">
        <v>118</v>
      </c>
      <c r="C213" s="249">
        <v>2.1440823327615781E-3</v>
      </c>
      <c r="D213" s="250">
        <v>0</v>
      </c>
      <c r="E213" s="250">
        <v>3.8466675570989713E-2</v>
      </c>
      <c r="F213" s="250">
        <v>0</v>
      </c>
      <c r="G213" s="250">
        <v>0</v>
      </c>
      <c r="H213" s="250">
        <v>0</v>
      </c>
      <c r="I213" s="250">
        <v>0</v>
      </c>
      <c r="J213" s="251">
        <v>1.6014485218104075E-2</v>
      </c>
      <c r="K213" s="249">
        <v>0</v>
      </c>
      <c r="L213" s="250">
        <v>0</v>
      </c>
      <c r="M213" s="250">
        <v>0</v>
      </c>
      <c r="N213" s="250">
        <v>0</v>
      </c>
      <c r="O213" s="249">
        <v>0</v>
      </c>
      <c r="P213" s="249">
        <v>0</v>
      </c>
      <c r="Q213" s="250">
        <v>0</v>
      </c>
      <c r="R213" s="252">
        <v>0</v>
      </c>
      <c r="S213" s="15"/>
      <c r="T213" s="15"/>
      <c r="U213" s="15"/>
      <c r="V213" s="15"/>
    </row>
    <row r="214" spans="1:22">
      <c r="A214" s="253"/>
      <c r="B214" s="254" t="s">
        <v>119</v>
      </c>
      <c r="C214" s="255">
        <v>8.9055184916163616E-3</v>
      </c>
      <c r="D214" s="256">
        <v>0</v>
      </c>
      <c r="E214" s="256">
        <v>3.4337462164157229E-2</v>
      </c>
      <c r="F214" s="256">
        <v>0</v>
      </c>
      <c r="G214" s="256">
        <v>0</v>
      </c>
      <c r="H214" s="256">
        <v>0</v>
      </c>
      <c r="I214" s="256">
        <v>0</v>
      </c>
      <c r="J214" s="257">
        <v>1.8019841784648636E-2</v>
      </c>
      <c r="K214" s="255">
        <v>0</v>
      </c>
      <c r="L214" s="256">
        <v>0</v>
      </c>
      <c r="M214" s="256">
        <v>0</v>
      </c>
      <c r="N214" s="256">
        <v>0</v>
      </c>
      <c r="O214" s="255">
        <v>0</v>
      </c>
      <c r="P214" s="255">
        <v>0</v>
      </c>
      <c r="Q214" s="256">
        <v>0</v>
      </c>
      <c r="R214" s="258">
        <v>0</v>
      </c>
      <c r="S214" s="15"/>
      <c r="T214" s="15"/>
      <c r="U214" s="15"/>
      <c r="V214" s="15"/>
    </row>
    <row r="215" spans="1:22">
      <c r="A215" s="253"/>
      <c r="B215" s="317" t="s">
        <v>120</v>
      </c>
      <c r="C215" s="318">
        <v>0.67614361588547833</v>
      </c>
      <c r="D215" s="319">
        <v>0</v>
      </c>
      <c r="E215" s="319">
        <v>-0.41292134068324837</v>
      </c>
      <c r="F215" s="319">
        <v>0</v>
      </c>
      <c r="G215" s="319">
        <v>0</v>
      </c>
      <c r="H215" s="319">
        <v>0</v>
      </c>
      <c r="I215" s="319">
        <v>0</v>
      </c>
      <c r="J215" s="320">
        <v>0.20053565665445611</v>
      </c>
      <c r="K215" s="318">
        <v>0</v>
      </c>
      <c r="L215" s="319">
        <v>0</v>
      </c>
      <c r="M215" s="319">
        <v>0</v>
      </c>
      <c r="N215" s="319">
        <v>0</v>
      </c>
      <c r="O215" s="318">
        <v>0</v>
      </c>
      <c r="P215" s="321">
        <v>0</v>
      </c>
      <c r="Q215" s="319">
        <v>0</v>
      </c>
      <c r="R215" s="322">
        <v>0</v>
      </c>
      <c r="S215" s="15"/>
      <c r="T215" s="15"/>
      <c r="U215" s="15"/>
      <c r="V215" s="15"/>
    </row>
    <row r="216" spans="1:22">
      <c r="A216" s="253"/>
      <c r="B216" s="234" t="s">
        <v>121</v>
      </c>
      <c r="C216" s="249">
        <v>2.2323680758752902E-3</v>
      </c>
      <c r="D216" s="250">
        <v>0</v>
      </c>
      <c r="E216" s="250">
        <v>1.2570809010127359E-4</v>
      </c>
      <c r="F216" s="250">
        <v>0</v>
      </c>
      <c r="G216" s="250">
        <v>0</v>
      </c>
      <c r="H216" s="250">
        <v>0</v>
      </c>
      <c r="I216" s="250">
        <v>0</v>
      </c>
      <c r="J216" s="251">
        <v>1.1316576643809221E-3</v>
      </c>
      <c r="K216" s="249">
        <v>0</v>
      </c>
      <c r="L216" s="250">
        <v>0</v>
      </c>
      <c r="M216" s="250">
        <v>0</v>
      </c>
      <c r="N216" s="250">
        <v>0</v>
      </c>
      <c r="O216" s="249">
        <v>0</v>
      </c>
      <c r="P216" s="249">
        <v>0</v>
      </c>
      <c r="Q216" s="250">
        <v>0</v>
      </c>
      <c r="R216" s="252">
        <v>0</v>
      </c>
      <c r="S216" s="15"/>
      <c r="T216" s="15"/>
      <c r="U216" s="15"/>
      <c r="V216" s="15"/>
    </row>
    <row r="217" spans="1:22">
      <c r="A217" s="253"/>
      <c r="B217" s="254" t="s">
        <v>122</v>
      </c>
      <c r="C217" s="255">
        <v>3.6623105517270849E-5</v>
      </c>
      <c r="D217" s="256">
        <v>0</v>
      </c>
      <c r="E217" s="256">
        <v>2.7549085052502197E-4</v>
      </c>
      <c r="F217" s="256">
        <v>0</v>
      </c>
      <c r="G217" s="256">
        <v>0</v>
      </c>
      <c r="H217" s="256">
        <v>0</v>
      </c>
      <c r="I217" s="256">
        <v>0</v>
      </c>
      <c r="J217" s="257">
        <v>1.283058354919602E-4</v>
      </c>
      <c r="K217" s="255">
        <v>0</v>
      </c>
      <c r="L217" s="256">
        <v>0</v>
      </c>
      <c r="M217" s="256">
        <v>0</v>
      </c>
      <c r="N217" s="256">
        <v>0</v>
      </c>
      <c r="O217" s="255">
        <v>0</v>
      </c>
      <c r="P217" s="255">
        <v>0</v>
      </c>
      <c r="Q217" s="256">
        <v>0</v>
      </c>
      <c r="R217" s="258">
        <v>0</v>
      </c>
      <c r="S217" s="15"/>
      <c r="T217" s="15"/>
      <c r="U217" s="15"/>
      <c r="V217" s="15"/>
    </row>
    <row r="218" spans="1:22">
      <c r="A218" s="253"/>
      <c r="B218" s="317" t="s">
        <v>123</v>
      </c>
      <c r="C218" s="318">
        <v>-0.21957449703580195</v>
      </c>
      <c r="D218" s="319">
        <v>0</v>
      </c>
      <c r="E218" s="319">
        <v>1.4978276042374838E-2</v>
      </c>
      <c r="F218" s="319">
        <v>0</v>
      </c>
      <c r="G218" s="319">
        <v>0</v>
      </c>
      <c r="H218" s="319">
        <v>0</v>
      </c>
      <c r="I218" s="319">
        <v>0</v>
      </c>
      <c r="J218" s="320">
        <v>-0.1003351828888962</v>
      </c>
      <c r="K218" s="318">
        <v>0</v>
      </c>
      <c r="L218" s="319">
        <v>0</v>
      </c>
      <c r="M218" s="319">
        <v>0</v>
      </c>
      <c r="N218" s="319">
        <v>0</v>
      </c>
      <c r="O218" s="318">
        <v>0</v>
      </c>
      <c r="P218" s="321">
        <v>0</v>
      </c>
      <c r="Q218" s="319">
        <v>0</v>
      </c>
      <c r="R218" s="322">
        <v>0</v>
      </c>
      <c r="S218" s="15"/>
      <c r="T218" s="15"/>
      <c r="U218" s="15"/>
      <c r="V218" s="15"/>
    </row>
    <row r="219" spans="1:22">
      <c r="A219" s="253"/>
      <c r="B219" s="234" t="s">
        <v>124</v>
      </c>
      <c r="C219" s="249">
        <v>0</v>
      </c>
      <c r="D219" s="250">
        <v>0</v>
      </c>
      <c r="E219" s="250">
        <v>0</v>
      </c>
      <c r="F219" s="250">
        <v>0</v>
      </c>
      <c r="G219" s="250">
        <v>0</v>
      </c>
      <c r="H219" s="250">
        <v>0</v>
      </c>
      <c r="I219" s="250">
        <v>0</v>
      </c>
      <c r="J219" s="251">
        <v>0</v>
      </c>
      <c r="K219" s="249">
        <v>0</v>
      </c>
      <c r="L219" s="250">
        <v>0</v>
      </c>
      <c r="M219" s="250">
        <v>0</v>
      </c>
      <c r="N219" s="250">
        <v>0</v>
      </c>
      <c r="O219" s="249">
        <v>0</v>
      </c>
      <c r="P219" s="249">
        <v>0</v>
      </c>
      <c r="Q219" s="250">
        <v>0</v>
      </c>
      <c r="R219" s="252">
        <v>0</v>
      </c>
      <c r="S219" s="15"/>
      <c r="T219" s="15"/>
      <c r="U219" s="15"/>
      <c r="V219" s="15"/>
    </row>
    <row r="220" spans="1:22">
      <c r="A220" s="253"/>
      <c r="B220" s="254" t="s">
        <v>125</v>
      </c>
      <c r="C220" s="255">
        <v>0</v>
      </c>
      <c r="D220" s="256">
        <v>0</v>
      </c>
      <c r="E220" s="256">
        <v>0</v>
      </c>
      <c r="F220" s="256">
        <v>0</v>
      </c>
      <c r="G220" s="256">
        <v>0</v>
      </c>
      <c r="H220" s="256">
        <v>0</v>
      </c>
      <c r="I220" s="256">
        <v>0</v>
      </c>
      <c r="J220" s="257">
        <v>0</v>
      </c>
      <c r="K220" s="255">
        <v>0</v>
      </c>
      <c r="L220" s="256">
        <v>0</v>
      </c>
      <c r="M220" s="256">
        <v>0</v>
      </c>
      <c r="N220" s="256">
        <v>0</v>
      </c>
      <c r="O220" s="255">
        <v>0</v>
      </c>
      <c r="P220" s="255">
        <v>0</v>
      </c>
      <c r="Q220" s="256">
        <v>0</v>
      </c>
      <c r="R220" s="258">
        <v>0</v>
      </c>
      <c r="S220" s="15"/>
      <c r="T220" s="15"/>
      <c r="U220" s="15"/>
      <c r="V220" s="15"/>
    </row>
    <row r="221" spans="1:22">
      <c r="A221" s="260"/>
      <c r="B221" s="317" t="s">
        <v>126</v>
      </c>
      <c r="C221" s="318">
        <v>0</v>
      </c>
      <c r="D221" s="319">
        <v>0</v>
      </c>
      <c r="E221" s="319">
        <v>0</v>
      </c>
      <c r="F221" s="319">
        <v>0</v>
      </c>
      <c r="G221" s="319">
        <v>0</v>
      </c>
      <c r="H221" s="319">
        <v>0</v>
      </c>
      <c r="I221" s="319">
        <v>0</v>
      </c>
      <c r="J221" s="320">
        <v>0</v>
      </c>
      <c r="K221" s="318">
        <v>0</v>
      </c>
      <c r="L221" s="319">
        <v>0</v>
      </c>
      <c r="M221" s="319">
        <v>0</v>
      </c>
      <c r="N221" s="319">
        <v>0</v>
      </c>
      <c r="O221" s="318">
        <v>0</v>
      </c>
      <c r="P221" s="321">
        <v>0</v>
      </c>
      <c r="Q221" s="319">
        <v>0</v>
      </c>
      <c r="R221" s="322">
        <v>0</v>
      </c>
      <c r="S221" s="15"/>
      <c r="T221" s="15"/>
      <c r="U221" s="15"/>
      <c r="V221" s="15"/>
    </row>
    <row r="222" spans="1:22">
      <c r="A222" s="248" t="s">
        <v>76</v>
      </c>
      <c r="B222" s="234" t="s">
        <v>91</v>
      </c>
      <c r="C222" s="249">
        <v>0</v>
      </c>
      <c r="D222" s="250">
        <v>0</v>
      </c>
      <c r="E222" s="250">
        <v>0</v>
      </c>
      <c r="F222" s="250">
        <v>0</v>
      </c>
      <c r="G222" s="250">
        <v>0</v>
      </c>
      <c r="H222" s="250">
        <v>0</v>
      </c>
      <c r="I222" s="250">
        <v>0</v>
      </c>
      <c r="J222" s="251">
        <v>0</v>
      </c>
      <c r="K222" s="249">
        <v>0</v>
      </c>
      <c r="L222" s="250">
        <v>0</v>
      </c>
      <c r="M222" s="250">
        <v>0</v>
      </c>
      <c r="N222" s="250">
        <v>0</v>
      </c>
      <c r="O222" s="249">
        <v>0</v>
      </c>
      <c r="P222" s="249">
        <v>0</v>
      </c>
      <c r="Q222" s="250">
        <v>0</v>
      </c>
      <c r="R222" s="252">
        <v>0</v>
      </c>
      <c r="S222" s="15"/>
      <c r="T222" s="15"/>
      <c r="U222" s="15"/>
      <c r="V222" s="15"/>
    </row>
    <row r="223" spans="1:22">
      <c r="A223" s="253"/>
      <c r="B223" s="254" t="s">
        <v>92</v>
      </c>
      <c r="C223" s="255">
        <v>0</v>
      </c>
      <c r="D223" s="256">
        <v>0</v>
      </c>
      <c r="E223" s="256">
        <v>0</v>
      </c>
      <c r="F223" s="256">
        <v>0</v>
      </c>
      <c r="G223" s="256">
        <v>0</v>
      </c>
      <c r="H223" s="256">
        <v>0</v>
      </c>
      <c r="I223" s="256">
        <v>0</v>
      </c>
      <c r="J223" s="257">
        <v>0</v>
      </c>
      <c r="K223" s="255">
        <v>0</v>
      </c>
      <c r="L223" s="256">
        <v>0</v>
      </c>
      <c r="M223" s="256">
        <v>0</v>
      </c>
      <c r="N223" s="256">
        <v>0</v>
      </c>
      <c r="O223" s="255">
        <v>0</v>
      </c>
      <c r="P223" s="255">
        <v>0</v>
      </c>
      <c r="Q223" s="256">
        <v>0</v>
      </c>
      <c r="R223" s="258">
        <v>0</v>
      </c>
      <c r="S223" s="15"/>
      <c r="T223" s="15"/>
      <c r="U223" s="15"/>
      <c r="V223" s="15"/>
    </row>
    <row r="224" spans="1:22" s="261" customFormat="1">
      <c r="A224" s="253"/>
      <c r="B224" s="317" t="s">
        <v>93</v>
      </c>
      <c r="C224" s="318">
        <v>0</v>
      </c>
      <c r="D224" s="319">
        <v>0</v>
      </c>
      <c r="E224" s="319">
        <v>0</v>
      </c>
      <c r="F224" s="319">
        <v>0</v>
      </c>
      <c r="G224" s="319">
        <v>0</v>
      </c>
      <c r="H224" s="319">
        <v>0</v>
      </c>
      <c r="I224" s="319">
        <v>0</v>
      </c>
      <c r="J224" s="320">
        <v>0</v>
      </c>
      <c r="K224" s="318">
        <v>0</v>
      </c>
      <c r="L224" s="319">
        <v>0</v>
      </c>
      <c r="M224" s="319">
        <v>0</v>
      </c>
      <c r="N224" s="319">
        <v>0</v>
      </c>
      <c r="O224" s="318">
        <v>0</v>
      </c>
      <c r="P224" s="321">
        <v>0</v>
      </c>
      <c r="Q224" s="319">
        <v>0</v>
      </c>
      <c r="R224" s="322">
        <v>0</v>
      </c>
      <c r="S224" s="15"/>
      <c r="T224" s="15"/>
      <c r="U224" s="15"/>
      <c r="V224" s="15"/>
    </row>
    <row r="225" spans="1:22">
      <c r="A225" s="253"/>
      <c r="B225" s="234" t="s">
        <v>94</v>
      </c>
      <c r="C225" s="249">
        <v>0</v>
      </c>
      <c r="D225" s="250">
        <v>0</v>
      </c>
      <c r="E225" s="250">
        <v>0</v>
      </c>
      <c r="F225" s="250">
        <v>0</v>
      </c>
      <c r="G225" s="250">
        <v>0</v>
      </c>
      <c r="H225" s="250">
        <v>0</v>
      </c>
      <c r="I225" s="250">
        <v>0</v>
      </c>
      <c r="J225" s="251">
        <v>0</v>
      </c>
      <c r="K225" s="249">
        <v>0</v>
      </c>
      <c r="L225" s="250">
        <v>0</v>
      </c>
      <c r="M225" s="250">
        <v>0</v>
      </c>
      <c r="N225" s="250">
        <v>0</v>
      </c>
      <c r="O225" s="249">
        <v>0</v>
      </c>
      <c r="P225" s="249">
        <v>0</v>
      </c>
      <c r="Q225" s="250">
        <v>0</v>
      </c>
      <c r="R225" s="252">
        <v>0</v>
      </c>
      <c r="S225" s="15"/>
      <c r="T225" s="15"/>
      <c r="U225" s="15"/>
      <c r="V225" s="15"/>
    </row>
    <row r="226" spans="1:22">
      <c r="A226" s="253"/>
      <c r="B226" s="254" t="s">
        <v>95</v>
      </c>
      <c r="C226" s="255">
        <v>0</v>
      </c>
      <c r="D226" s="256">
        <v>0</v>
      </c>
      <c r="E226" s="256">
        <v>0</v>
      </c>
      <c r="F226" s="256">
        <v>0</v>
      </c>
      <c r="G226" s="256">
        <v>0</v>
      </c>
      <c r="H226" s="256">
        <v>0</v>
      </c>
      <c r="I226" s="256">
        <v>0</v>
      </c>
      <c r="J226" s="257">
        <v>0</v>
      </c>
      <c r="K226" s="255">
        <v>0</v>
      </c>
      <c r="L226" s="256">
        <v>0</v>
      </c>
      <c r="M226" s="256">
        <v>0</v>
      </c>
      <c r="N226" s="256">
        <v>0</v>
      </c>
      <c r="O226" s="255">
        <v>0</v>
      </c>
      <c r="P226" s="255">
        <v>0</v>
      </c>
      <c r="Q226" s="256">
        <v>0</v>
      </c>
      <c r="R226" s="258">
        <v>0</v>
      </c>
      <c r="S226" s="15"/>
      <c r="T226" s="15"/>
      <c r="U226" s="15"/>
      <c r="V226" s="15"/>
    </row>
    <row r="227" spans="1:22" s="261" customFormat="1">
      <c r="A227" s="253"/>
      <c r="B227" s="317" t="s">
        <v>96</v>
      </c>
      <c r="C227" s="318">
        <v>0</v>
      </c>
      <c r="D227" s="319">
        <v>0</v>
      </c>
      <c r="E227" s="319">
        <v>0</v>
      </c>
      <c r="F227" s="319">
        <v>0</v>
      </c>
      <c r="G227" s="319">
        <v>0</v>
      </c>
      <c r="H227" s="319">
        <v>0</v>
      </c>
      <c r="I227" s="319">
        <v>0</v>
      </c>
      <c r="J227" s="320">
        <v>0</v>
      </c>
      <c r="K227" s="318">
        <v>0</v>
      </c>
      <c r="L227" s="319">
        <v>0</v>
      </c>
      <c r="M227" s="319">
        <v>0</v>
      </c>
      <c r="N227" s="319">
        <v>0</v>
      </c>
      <c r="O227" s="318">
        <v>0</v>
      </c>
      <c r="P227" s="321">
        <v>0</v>
      </c>
      <c r="Q227" s="319">
        <v>0</v>
      </c>
      <c r="R227" s="322">
        <v>0</v>
      </c>
      <c r="S227" s="15"/>
      <c r="T227" s="15"/>
      <c r="U227" s="15"/>
      <c r="V227" s="15"/>
    </row>
    <row r="228" spans="1:22">
      <c r="A228" s="253"/>
      <c r="B228" s="234" t="s">
        <v>97</v>
      </c>
      <c r="C228" s="249">
        <v>0</v>
      </c>
      <c r="D228" s="250">
        <v>0</v>
      </c>
      <c r="E228" s="250">
        <v>0</v>
      </c>
      <c r="F228" s="250">
        <v>0</v>
      </c>
      <c r="G228" s="250">
        <v>0</v>
      </c>
      <c r="H228" s="250">
        <v>0</v>
      </c>
      <c r="I228" s="250">
        <v>0</v>
      </c>
      <c r="J228" s="251">
        <v>0</v>
      </c>
      <c r="K228" s="249">
        <v>0</v>
      </c>
      <c r="L228" s="250">
        <v>0</v>
      </c>
      <c r="M228" s="250">
        <v>0</v>
      </c>
      <c r="N228" s="250">
        <v>0</v>
      </c>
      <c r="O228" s="249">
        <v>0</v>
      </c>
      <c r="P228" s="249">
        <v>0</v>
      </c>
      <c r="Q228" s="250">
        <v>0</v>
      </c>
      <c r="R228" s="252">
        <v>0</v>
      </c>
      <c r="S228" s="15"/>
      <c r="T228" s="15"/>
      <c r="U228" s="15"/>
      <c r="V228" s="15"/>
    </row>
    <row r="229" spans="1:22">
      <c r="A229" s="253"/>
      <c r="B229" s="254" t="s">
        <v>98</v>
      </c>
      <c r="C229" s="255">
        <v>0</v>
      </c>
      <c r="D229" s="256">
        <v>0</v>
      </c>
      <c r="E229" s="256">
        <v>0</v>
      </c>
      <c r="F229" s="256">
        <v>0</v>
      </c>
      <c r="G229" s="256">
        <v>0</v>
      </c>
      <c r="H229" s="256">
        <v>0</v>
      </c>
      <c r="I229" s="256">
        <v>0</v>
      </c>
      <c r="J229" s="257">
        <v>0</v>
      </c>
      <c r="K229" s="255">
        <v>0</v>
      </c>
      <c r="L229" s="256">
        <v>0</v>
      </c>
      <c r="M229" s="256">
        <v>0</v>
      </c>
      <c r="N229" s="256">
        <v>0</v>
      </c>
      <c r="O229" s="255">
        <v>0</v>
      </c>
      <c r="P229" s="255">
        <v>0</v>
      </c>
      <c r="Q229" s="256">
        <v>0</v>
      </c>
      <c r="R229" s="258">
        <v>0</v>
      </c>
      <c r="S229" s="15"/>
      <c r="T229" s="15"/>
      <c r="U229" s="15"/>
      <c r="V229" s="15"/>
    </row>
    <row r="230" spans="1:22" s="261" customFormat="1">
      <c r="A230" s="253"/>
      <c r="B230" s="317" t="s">
        <v>99</v>
      </c>
      <c r="C230" s="318">
        <v>0</v>
      </c>
      <c r="D230" s="319">
        <v>0</v>
      </c>
      <c r="E230" s="319">
        <v>0</v>
      </c>
      <c r="F230" s="319">
        <v>0</v>
      </c>
      <c r="G230" s="319">
        <v>0</v>
      </c>
      <c r="H230" s="319">
        <v>0</v>
      </c>
      <c r="I230" s="319">
        <v>0</v>
      </c>
      <c r="J230" s="320">
        <v>0</v>
      </c>
      <c r="K230" s="318">
        <v>0</v>
      </c>
      <c r="L230" s="319">
        <v>0</v>
      </c>
      <c r="M230" s="319">
        <v>0</v>
      </c>
      <c r="N230" s="319">
        <v>0</v>
      </c>
      <c r="O230" s="318">
        <v>0</v>
      </c>
      <c r="P230" s="321">
        <v>0</v>
      </c>
      <c r="Q230" s="319">
        <v>0</v>
      </c>
      <c r="R230" s="322">
        <v>0</v>
      </c>
      <c r="S230" s="15"/>
      <c r="T230" s="15"/>
      <c r="U230" s="15"/>
      <c r="V230" s="15"/>
    </row>
    <row r="231" spans="1:22">
      <c r="A231" s="253"/>
      <c r="B231" s="234" t="s">
        <v>100</v>
      </c>
      <c r="C231" s="249">
        <v>0</v>
      </c>
      <c r="D231" s="250">
        <v>0</v>
      </c>
      <c r="E231" s="250">
        <v>0</v>
      </c>
      <c r="F231" s="250">
        <v>0</v>
      </c>
      <c r="G231" s="250">
        <v>0</v>
      </c>
      <c r="H231" s="250">
        <v>0</v>
      </c>
      <c r="I231" s="250">
        <v>0</v>
      </c>
      <c r="J231" s="251">
        <v>0</v>
      </c>
      <c r="K231" s="249">
        <v>0</v>
      </c>
      <c r="L231" s="250">
        <v>0</v>
      </c>
      <c r="M231" s="250">
        <v>0</v>
      </c>
      <c r="N231" s="250">
        <v>0</v>
      </c>
      <c r="O231" s="249">
        <v>0</v>
      </c>
      <c r="P231" s="249">
        <v>0</v>
      </c>
      <c r="Q231" s="250">
        <v>0</v>
      </c>
      <c r="R231" s="252">
        <v>0</v>
      </c>
      <c r="S231" s="15"/>
      <c r="T231" s="15"/>
      <c r="U231" s="15"/>
      <c r="V231" s="15"/>
    </row>
    <row r="232" spans="1:22">
      <c r="A232" s="253"/>
      <c r="B232" s="254" t="s">
        <v>101</v>
      </c>
      <c r="C232" s="255">
        <v>0</v>
      </c>
      <c r="D232" s="256">
        <v>0</v>
      </c>
      <c r="E232" s="256">
        <v>0</v>
      </c>
      <c r="F232" s="256">
        <v>0</v>
      </c>
      <c r="G232" s="256">
        <v>0</v>
      </c>
      <c r="H232" s="256">
        <v>0</v>
      </c>
      <c r="I232" s="256">
        <v>0</v>
      </c>
      <c r="J232" s="257">
        <v>0</v>
      </c>
      <c r="K232" s="255">
        <v>0</v>
      </c>
      <c r="L232" s="256">
        <v>0</v>
      </c>
      <c r="M232" s="256">
        <v>0</v>
      </c>
      <c r="N232" s="256">
        <v>0</v>
      </c>
      <c r="O232" s="255">
        <v>0</v>
      </c>
      <c r="P232" s="255">
        <v>0</v>
      </c>
      <c r="Q232" s="256">
        <v>0</v>
      </c>
      <c r="R232" s="258">
        <v>0</v>
      </c>
      <c r="S232" s="15"/>
      <c r="T232" s="15"/>
      <c r="U232" s="15"/>
      <c r="V232" s="15"/>
    </row>
    <row r="233" spans="1:22" s="261" customFormat="1">
      <c r="A233" s="253"/>
      <c r="B233" s="317" t="s">
        <v>102</v>
      </c>
      <c r="C233" s="318">
        <v>0</v>
      </c>
      <c r="D233" s="319">
        <v>0</v>
      </c>
      <c r="E233" s="319">
        <v>0</v>
      </c>
      <c r="F233" s="319">
        <v>0</v>
      </c>
      <c r="G233" s="319">
        <v>0</v>
      </c>
      <c r="H233" s="319">
        <v>0</v>
      </c>
      <c r="I233" s="319">
        <v>0</v>
      </c>
      <c r="J233" s="320">
        <v>0</v>
      </c>
      <c r="K233" s="318">
        <v>0</v>
      </c>
      <c r="L233" s="319">
        <v>0</v>
      </c>
      <c r="M233" s="319">
        <v>0</v>
      </c>
      <c r="N233" s="319">
        <v>0</v>
      </c>
      <c r="O233" s="318">
        <v>0</v>
      </c>
      <c r="P233" s="321">
        <v>0</v>
      </c>
      <c r="Q233" s="319">
        <v>0</v>
      </c>
      <c r="R233" s="322">
        <v>0</v>
      </c>
      <c r="S233" s="15"/>
      <c r="T233" s="15"/>
      <c r="U233" s="15"/>
      <c r="V233" s="15"/>
    </row>
    <row r="234" spans="1:22">
      <c r="A234" s="253"/>
      <c r="B234" s="234" t="s">
        <v>103</v>
      </c>
      <c r="C234" s="249">
        <v>0</v>
      </c>
      <c r="D234" s="250">
        <v>0</v>
      </c>
      <c r="E234" s="250">
        <v>0</v>
      </c>
      <c r="F234" s="250">
        <v>0</v>
      </c>
      <c r="G234" s="250">
        <v>0</v>
      </c>
      <c r="H234" s="250">
        <v>0</v>
      </c>
      <c r="I234" s="250">
        <v>0</v>
      </c>
      <c r="J234" s="251">
        <v>0</v>
      </c>
      <c r="K234" s="249">
        <v>0</v>
      </c>
      <c r="L234" s="250">
        <v>0</v>
      </c>
      <c r="M234" s="250">
        <v>0</v>
      </c>
      <c r="N234" s="250">
        <v>0</v>
      </c>
      <c r="O234" s="249">
        <v>0</v>
      </c>
      <c r="P234" s="249">
        <v>0</v>
      </c>
      <c r="Q234" s="250">
        <v>0</v>
      </c>
      <c r="R234" s="252">
        <v>0</v>
      </c>
      <c r="S234" s="15"/>
      <c r="T234" s="15"/>
      <c r="U234" s="15"/>
      <c r="V234" s="15"/>
    </row>
    <row r="235" spans="1:22">
      <c r="A235" s="253"/>
      <c r="B235" s="254" t="s">
        <v>104</v>
      </c>
      <c r="C235" s="255">
        <v>0</v>
      </c>
      <c r="D235" s="256">
        <v>0</v>
      </c>
      <c r="E235" s="256">
        <v>0</v>
      </c>
      <c r="F235" s="256">
        <v>0</v>
      </c>
      <c r="G235" s="256">
        <v>0</v>
      </c>
      <c r="H235" s="256">
        <v>0</v>
      </c>
      <c r="I235" s="256">
        <v>0</v>
      </c>
      <c r="J235" s="257">
        <v>0</v>
      </c>
      <c r="K235" s="255">
        <v>0</v>
      </c>
      <c r="L235" s="256">
        <v>0</v>
      </c>
      <c r="M235" s="256">
        <v>0</v>
      </c>
      <c r="N235" s="256">
        <v>0</v>
      </c>
      <c r="O235" s="255">
        <v>0</v>
      </c>
      <c r="P235" s="255">
        <v>0</v>
      </c>
      <c r="Q235" s="256">
        <v>0</v>
      </c>
      <c r="R235" s="258">
        <v>0</v>
      </c>
      <c r="S235" s="15"/>
      <c r="T235" s="15"/>
      <c r="U235" s="15"/>
      <c r="V235" s="15"/>
    </row>
    <row r="236" spans="1:22" s="261" customFormat="1">
      <c r="A236" s="253"/>
      <c r="B236" s="317" t="s">
        <v>105</v>
      </c>
      <c r="C236" s="318">
        <v>0</v>
      </c>
      <c r="D236" s="319">
        <v>0</v>
      </c>
      <c r="E236" s="319">
        <v>0</v>
      </c>
      <c r="F236" s="319">
        <v>0</v>
      </c>
      <c r="G236" s="319">
        <v>0</v>
      </c>
      <c r="H236" s="319">
        <v>0</v>
      </c>
      <c r="I236" s="319">
        <v>0</v>
      </c>
      <c r="J236" s="320">
        <v>0</v>
      </c>
      <c r="K236" s="318">
        <v>0</v>
      </c>
      <c r="L236" s="319">
        <v>0</v>
      </c>
      <c r="M236" s="319">
        <v>0</v>
      </c>
      <c r="N236" s="319">
        <v>0</v>
      </c>
      <c r="O236" s="318">
        <v>0</v>
      </c>
      <c r="P236" s="321">
        <v>0</v>
      </c>
      <c r="Q236" s="319">
        <v>0</v>
      </c>
      <c r="R236" s="322">
        <v>0</v>
      </c>
      <c r="S236" s="15"/>
      <c r="T236" s="15"/>
      <c r="U236" s="15"/>
      <c r="V236" s="15"/>
    </row>
    <row r="237" spans="1:22">
      <c r="A237" s="253"/>
      <c r="B237" s="234" t="s">
        <v>106</v>
      </c>
      <c r="C237" s="249">
        <v>0</v>
      </c>
      <c r="D237" s="250">
        <v>0</v>
      </c>
      <c r="E237" s="250">
        <v>0</v>
      </c>
      <c r="F237" s="250">
        <v>0</v>
      </c>
      <c r="G237" s="250">
        <v>0</v>
      </c>
      <c r="H237" s="250">
        <v>0</v>
      </c>
      <c r="I237" s="250">
        <v>0</v>
      </c>
      <c r="J237" s="251">
        <v>0</v>
      </c>
      <c r="K237" s="249">
        <v>0</v>
      </c>
      <c r="L237" s="250">
        <v>0</v>
      </c>
      <c r="M237" s="250">
        <v>0</v>
      </c>
      <c r="N237" s="250">
        <v>0</v>
      </c>
      <c r="O237" s="249">
        <v>0</v>
      </c>
      <c r="P237" s="249">
        <v>0</v>
      </c>
      <c r="Q237" s="250">
        <v>0</v>
      </c>
      <c r="R237" s="252">
        <v>0</v>
      </c>
      <c r="S237" s="15"/>
      <c r="T237" s="15"/>
      <c r="U237" s="15"/>
      <c r="V237" s="15"/>
    </row>
    <row r="238" spans="1:22">
      <c r="A238" s="253"/>
      <c r="B238" s="254" t="s">
        <v>107</v>
      </c>
      <c r="C238" s="255">
        <v>0</v>
      </c>
      <c r="D238" s="256">
        <v>0</v>
      </c>
      <c r="E238" s="256">
        <v>0</v>
      </c>
      <c r="F238" s="256">
        <v>0</v>
      </c>
      <c r="G238" s="256">
        <v>0</v>
      </c>
      <c r="H238" s="256">
        <v>0</v>
      </c>
      <c r="I238" s="256">
        <v>0</v>
      </c>
      <c r="J238" s="257">
        <v>0</v>
      </c>
      <c r="K238" s="255">
        <v>0</v>
      </c>
      <c r="L238" s="256">
        <v>0</v>
      </c>
      <c r="M238" s="256">
        <v>0</v>
      </c>
      <c r="N238" s="256">
        <v>0</v>
      </c>
      <c r="O238" s="255">
        <v>0</v>
      </c>
      <c r="P238" s="255">
        <v>0</v>
      </c>
      <c r="Q238" s="256">
        <v>0</v>
      </c>
      <c r="R238" s="258">
        <v>0</v>
      </c>
      <c r="S238" s="15"/>
      <c r="T238" s="15"/>
      <c r="U238" s="15"/>
      <c r="V238" s="15"/>
    </row>
    <row r="239" spans="1:22" s="261" customFormat="1">
      <c r="A239" s="253"/>
      <c r="B239" s="317" t="s">
        <v>108</v>
      </c>
      <c r="C239" s="318">
        <v>0</v>
      </c>
      <c r="D239" s="319">
        <v>0</v>
      </c>
      <c r="E239" s="319">
        <v>0</v>
      </c>
      <c r="F239" s="319">
        <v>0</v>
      </c>
      <c r="G239" s="319">
        <v>0</v>
      </c>
      <c r="H239" s="319">
        <v>0</v>
      </c>
      <c r="I239" s="319">
        <v>0</v>
      </c>
      <c r="J239" s="320">
        <v>0</v>
      </c>
      <c r="K239" s="318">
        <v>0</v>
      </c>
      <c r="L239" s="319">
        <v>0</v>
      </c>
      <c r="M239" s="319">
        <v>0</v>
      </c>
      <c r="N239" s="319">
        <v>0</v>
      </c>
      <c r="O239" s="318">
        <v>0</v>
      </c>
      <c r="P239" s="321">
        <v>0</v>
      </c>
      <c r="Q239" s="319">
        <v>0</v>
      </c>
      <c r="R239" s="322">
        <v>0</v>
      </c>
      <c r="S239" s="15"/>
      <c r="T239" s="15"/>
      <c r="U239" s="15"/>
      <c r="V239" s="15"/>
    </row>
    <row r="240" spans="1:22">
      <c r="A240" s="253"/>
      <c r="B240" s="234" t="s">
        <v>109</v>
      </c>
      <c r="C240" s="249">
        <v>0</v>
      </c>
      <c r="D240" s="250">
        <v>0</v>
      </c>
      <c r="E240" s="250">
        <v>0</v>
      </c>
      <c r="F240" s="250">
        <v>0</v>
      </c>
      <c r="G240" s="250">
        <v>0</v>
      </c>
      <c r="H240" s="250">
        <v>0</v>
      </c>
      <c r="I240" s="250">
        <v>0</v>
      </c>
      <c r="J240" s="251">
        <v>0</v>
      </c>
      <c r="K240" s="249">
        <v>0</v>
      </c>
      <c r="L240" s="250">
        <v>0</v>
      </c>
      <c r="M240" s="250">
        <v>0</v>
      </c>
      <c r="N240" s="250">
        <v>0</v>
      </c>
      <c r="O240" s="249">
        <v>0</v>
      </c>
      <c r="P240" s="249">
        <v>0</v>
      </c>
      <c r="Q240" s="250">
        <v>0</v>
      </c>
      <c r="R240" s="252">
        <v>0</v>
      </c>
      <c r="S240" s="15"/>
      <c r="T240" s="15"/>
      <c r="U240" s="15"/>
      <c r="V240" s="15"/>
    </row>
    <row r="241" spans="1:22">
      <c r="A241" s="253"/>
      <c r="B241" s="254" t="s">
        <v>110</v>
      </c>
      <c r="C241" s="255">
        <v>0</v>
      </c>
      <c r="D241" s="256">
        <v>0</v>
      </c>
      <c r="E241" s="256">
        <v>0</v>
      </c>
      <c r="F241" s="256">
        <v>0</v>
      </c>
      <c r="G241" s="256">
        <v>0</v>
      </c>
      <c r="H241" s="256">
        <v>0</v>
      </c>
      <c r="I241" s="256">
        <v>0</v>
      </c>
      <c r="J241" s="257">
        <v>0</v>
      </c>
      <c r="K241" s="255">
        <v>0</v>
      </c>
      <c r="L241" s="256">
        <v>0</v>
      </c>
      <c r="M241" s="256">
        <v>0</v>
      </c>
      <c r="N241" s="256">
        <v>0</v>
      </c>
      <c r="O241" s="255">
        <v>0</v>
      </c>
      <c r="P241" s="255">
        <v>0</v>
      </c>
      <c r="Q241" s="256">
        <v>0</v>
      </c>
      <c r="R241" s="258">
        <v>0</v>
      </c>
      <c r="S241" s="15"/>
      <c r="T241" s="15"/>
      <c r="U241" s="15"/>
      <c r="V241" s="15"/>
    </row>
    <row r="242" spans="1:22" s="261" customFormat="1">
      <c r="A242" s="253"/>
      <c r="B242" s="317" t="s">
        <v>111</v>
      </c>
      <c r="C242" s="318">
        <v>0</v>
      </c>
      <c r="D242" s="319">
        <v>0</v>
      </c>
      <c r="E242" s="319">
        <v>0</v>
      </c>
      <c r="F242" s="319">
        <v>0</v>
      </c>
      <c r="G242" s="319">
        <v>0</v>
      </c>
      <c r="H242" s="319">
        <v>0</v>
      </c>
      <c r="I242" s="319">
        <v>0</v>
      </c>
      <c r="J242" s="320">
        <v>0</v>
      </c>
      <c r="K242" s="318">
        <v>0</v>
      </c>
      <c r="L242" s="319">
        <v>0</v>
      </c>
      <c r="M242" s="319">
        <v>0</v>
      </c>
      <c r="N242" s="319">
        <v>0</v>
      </c>
      <c r="O242" s="318">
        <v>0</v>
      </c>
      <c r="P242" s="321">
        <v>0</v>
      </c>
      <c r="Q242" s="319">
        <v>0</v>
      </c>
      <c r="R242" s="322">
        <v>0</v>
      </c>
      <c r="S242" s="15"/>
      <c r="T242" s="15"/>
      <c r="U242" s="15"/>
      <c r="V242" s="15"/>
    </row>
    <row r="243" spans="1:22">
      <c r="A243" s="253"/>
      <c r="B243" s="234" t="s">
        <v>112</v>
      </c>
      <c r="C243" s="249">
        <v>0</v>
      </c>
      <c r="D243" s="250">
        <v>0</v>
      </c>
      <c r="E243" s="250">
        <v>0</v>
      </c>
      <c r="F243" s="250">
        <v>0</v>
      </c>
      <c r="G243" s="250">
        <v>0</v>
      </c>
      <c r="H243" s="250">
        <v>0</v>
      </c>
      <c r="I243" s="250">
        <v>0</v>
      </c>
      <c r="J243" s="251">
        <v>0</v>
      </c>
      <c r="K243" s="249">
        <v>0</v>
      </c>
      <c r="L243" s="250">
        <v>0</v>
      </c>
      <c r="M243" s="250">
        <v>0</v>
      </c>
      <c r="N243" s="250">
        <v>0</v>
      </c>
      <c r="O243" s="249">
        <v>0</v>
      </c>
      <c r="P243" s="249">
        <v>0</v>
      </c>
      <c r="Q243" s="250">
        <v>0</v>
      </c>
      <c r="R243" s="252">
        <v>0</v>
      </c>
      <c r="S243" s="15"/>
      <c r="T243" s="15"/>
      <c r="U243" s="15"/>
      <c r="V243" s="15"/>
    </row>
    <row r="244" spans="1:22">
      <c r="A244" s="253"/>
      <c r="B244" s="254" t="s">
        <v>113</v>
      </c>
      <c r="C244" s="255">
        <v>0</v>
      </c>
      <c r="D244" s="256">
        <v>0</v>
      </c>
      <c r="E244" s="256">
        <v>0</v>
      </c>
      <c r="F244" s="256">
        <v>0</v>
      </c>
      <c r="G244" s="256">
        <v>0</v>
      </c>
      <c r="H244" s="256">
        <v>0</v>
      </c>
      <c r="I244" s="256">
        <v>0</v>
      </c>
      <c r="J244" s="257">
        <v>0</v>
      </c>
      <c r="K244" s="255">
        <v>0</v>
      </c>
      <c r="L244" s="256">
        <v>0</v>
      </c>
      <c r="M244" s="256">
        <v>0</v>
      </c>
      <c r="N244" s="256">
        <v>0</v>
      </c>
      <c r="O244" s="255">
        <v>0</v>
      </c>
      <c r="P244" s="255">
        <v>0</v>
      </c>
      <c r="Q244" s="256">
        <v>0</v>
      </c>
      <c r="R244" s="258">
        <v>0</v>
      </c>
      <c r="S244" s="15"/>
      <c r="T244" s="15"/>
      <c r="U244" s="15"/>
      <c r="V244" s="15"/>
    </row>
    <row r="245" spans="1:22" s="261" customFormat="1">
      <c r="A245" s="253"/>
      <c r="B245" s="317" t="s">
        <v>114</v>
      </c>
      <c r="C245" s="318">
        <v>0</v>
      </c>
      <c r="D245" s="319">
        <v>0</v>
      </c>
      <c r="E245" s="319">
        <v>0</v>
      </c>
      <c r="F245" s="319">
        <v>0</v>
      </c>
      <c r="G245" s="319">
        <v>0</v>
      </c>
      <c r="H245" s="319">
        <v>0</v>
      </c>
      <c r="I245" s="319">
        <v>0</v>
      </c>
      <c r="J245" s="320">
        <v>0</v>
      </c>
      <c r="K245" s="318">
        <v>0</v>
      </c>
      <c r="L245" s="319">
        <v>0</v>
      </c>
      <c r="M245" s="319">
        <v>0</v>
      </c>
      <c r="N245" s="319">
        <v>0</v>
      </c>
      <c r="O245" s="318">
        <v>0</v>
      </c>
      <c r="P245" s="321">
        <v>0</v>
      </c>
      <c r="Q245" s="319">
        <v>0</v>
      </c>
      <c r="R245" s="322">
        <v>0</v>
      </c>
      <c r="S245" s="15"/>
      <c r="T245" s="15"/>
      <c r="U245" s="15"/>
      <c r="V245" s="15"/>
    </row>
    <row r="246" spans="1:22">
      <c r="A246" s="253"/>
      <c r="B246" s="234" t="s">
        <v>115</v>
      </c>
      <c r="C246" s="249">
        <v>0</v>
      </c>
      <c r="D246" s="250">
        <v>0</v>
      </c>
      <c r="E246" s="250">
        <v>0</v>
      </c>
      <c r="F246" s="250">
        <v>0</v>
      </c>
      <c r="G246" s="250">
        <v>0</v>
      </c>
      <c r="H246" s="250">
        <v>0</v>
      </c>
      <c r="I246" s="250">
        <v>0</v>
      </c>
      <c r="J246" s="251">
        <v>0</v>
      </c>
      <c r="K246" s="249">
        <v>0</v>
      </c>
      <c r="L246" s="250">
        <v>0</v>
      </c>
      <c r="M246" s="250">
        <v>0</v>
      </c>
      <c r="N246" s="250">
        <v>0</v>
      </c>
      <c r="O246" s="249">
        <v>0</v>
      </c>
      <c r="P246" s="249">
        <v>0</v>
      </c>
      <c r="Q246" s="250">
        <v>0</v>
      </c>
      <c r="R246" s="252">
        <v>0</v>
      </c>
      <c r="S246" s="15"/>
      <c r="T246" s="15"/>
      <c r="U246" s="15"/>
      <c r="V246" s="15"/>
    </row>
    <row r="247" spans="1:22">
      <c r="A247" s="253"/>
      <c r="B247" s="254" t="s">
        <v>116</v>
      </c>
      <c r="C247" s="255">
        <v>0</v>
      </c>
      <c r="D247" s="256">
        <v>0</v>
      </c>
      <c r="E247" s="256">
        <v>0</v>
      </c>
      <c r="F247" s="256">
        <v>0</v>
      </c>
      <c r="G247" s="256">
        <v>0</v>
      </c>
      <c r="H247" s="256">
        <v>0</v>
      </c>
      <c r="I247" s="256">
        <v>0</v>
      </c>
      <c r="J247" s="257">
        <v>0</v>
      </c>
      <c r="K247" s="255">
        <v>0</v>
      </c>
      <c r="L247" s="256">
        <v>0</v>
      </c>
      <c r="M247" s="256">
        <v>0</v>
      </c>
      <c r="N247" s="256">
        <v>0</v>
      </c>
      <c r="O247" s="255">
        <v>0</v>
      </c>
      <c r="P247" s="255">
        <v>0</v>
      </c>
      <c r="Q247" s="256">
        <v>0</v>
      </c>
      <c r="R247" s="258">
        <v>0</v>
      </c>
      <c r="S247" s="15"/>
      <c r="T247" s="15"/>
      <c r="U247" s="15"/>
      <c r="V247" s="15"/>
    </row>
    <row r="248" spans="1:22" s="261" customFormat="1">
      <c r="A248" s="253"/>
      <c r="B248" s="317" t="s">
        <v>117</v>
      </c>
      <c r="C248" s="318">
        <v>0</v>
      </c>
      <c r="D248" s="319">
        <v>0</v>
      </c>
      <c r="E248" s="319">
        <v>0</v>
      </c>
      <c r="F248" s="319">
        <v>0</v>
      </c>
      <c r="G248" s="319">
        <v>0</v>
      </c>
      <c r="H248" s="319">
        <v>0</v>
      </c>
      <c r="I248" s="319">
        <v>0</v>
      </c>
      <c r="J248" s="320">
        <v>0</v>
      </c>
      <c r="K248" s="318">
        <v>0</v>
      </c>
      <c r="L248" s="319">
        <v>0</v>
      </c>
      <c r="M248" s="319">
        <v>0</v>
      </c>
      <c r="N248" s="319">
        <v>0</v>
      </c>
      <c r="O248" s="318">
        <v>0</v>
      </c>
      <c r="P248" s="321">
        <v>0</v>
      </c>
      <c r="Q248" s="319">
        <v>0</v>
      </c>
      <c r="R248" s="322">
        <v>0</v>
      </c>
      <c r="S248" s="15"/>
      <c r="T248" s="15"/>
      <c r="U248" s="15"/>
      <c r="V248" s="15"/>
    </row>
    <row r="249" spans="1:22">
      <c r="A249" s="253"/>
      <c r="B249" s="234" t="s">
        <v>118</v>
      </c>
      <c r="C249" s="249">
        <v>0</v>
      </c>
      <c r="D249" s="250">
        <v>0</v>
      </c>
      <c r="E249" s="250">
        <v>0</v>
      </c>
      <c r="F249" s="250">
        <v>0</v>
      </c>
      <c r="G249" s="250">
        <v>0</v>
      </c>
      <c r="H249" s="250">
        <v>0</v>
      </c>
      <c r="I249" s="250">
        <v>0</v>
      </c>
      <c r="J249" s="251">
        <v>0</v>
      </c>
      <c r="K249" s="249">
        <v>0</v>
      </c>
      <c r="L249" s="250">
        <v>0</v>
      </c>
      <c r="M249" s="250">
        <v>0</v>
      </c>
      <c r="N249" s="250">
        <v>0</v>
      </c>
      <c r="O249" s="249">
        <v>0</v>
      </c>
      <c r="P249" s="249">
        <v>0</v>
      </c>
      <c r="Q249" s="250">
        <v>0</v>
      </c>
      <c r="R249" s="252">
        <v>0</v>
      </c>
      <c r="S249" s="15"/>
      <c r="T249" s="15"/>
      <c r="U249" s="15"/>
      <c r="V249" s="15"/>
    </row>
    <row r="250" spans="1:22">
      <c r="A250" s="253"/>
      <c r="B250" s="254" t="s">
        <v>119</v>
      </c>
      <c r="C250" s="255">
        <v>0</v>
      </c>
      <c r="D250" s="256">
        <v>0</v>
      </c>
      <c r="E250" s="256">
        <v>0</v>
      </c>
      <c r="F250" s="256">
        <v>0</v>
      </c>
      <c r="G250" s="256">
        <v>0</v>
      </c>
      <c r="H250" s="256">
        <v>0</v>
      </c>
      <c r="I250" s="256">
        <v>0</v>
      </c>
      <c r="J250" s="257">
        <v>0</v>
      </c>
      <c r="K250" s="255">
        <v>0</v>
      </c>
      <c r="L250" s="256">
        <v>0</v>
      </c>
      <c r="M250" s="256">
        <v>0</v>
      </c>
      <c r="N250" s="256">
        <v>0</v>
      </c>
      <c r="O250" s="255">
        <v>0</v>
      </c>
      <c r="P250" s="255">
        <v>0</v>
      </c>
      <c r="Q250" s="256">
        <v>0</v>
      </c>
      <c r="R250" s="258">
        <v>0</v>
      </c>
      <c r="S250" s="15"/>
      <c r="T250" s="15"/>
      <c r="U250" s="15"/>
      <c r="V250" s="15"/>
    </row>
    <row r="251" spans="1:22" s="261" customFormat="1">
      <c r="A251" s="253"/>
      <c r="B251" s="317" t="s">
        <v>120</v>
      </c>
      <c r="C251" s="318">
        <v>0</v>
      </c>
      <c r="D251" s="319">
        <v>0</v>
      </c>
      <c r="E251" s="319">
        <v>0</v>
      </c>
      <c r="F251" s="319">
        <v>0</v>
      </c>
      <c r="G251" s="319">
        <v>0</v>
      </c>
      <c r="H251" s="319">
        <v>0</v>
      </c>
      <c r="I251" s="319">
        <v>0</v>
      </c>
      <c r="J251" s="320">
        <v>0</v>
      </c>
      <c r="K251" s="318">
        <v>0</v>
      </c>
      <c r="L251" s="319">
        <v>0</v>
      </c>
      <c r="M251" s="319">
        <v>0</v>
      </c>
      <c r="N251" s="319">
        <v>0</v>
      </c>
      <c r="O251" s="318">
        <v>0</v>
      </c>
      <c r="P251" s="321">
        <v>0</v>
      </c>
      <c r="Q251" s="319">
        <v>0</v>
      </c>
      <c r="R251" s="322">
        <v>0</v>
      </c>
      <c r="S251" s="15"/>
      <c r="T251" s="15"/>
      <c r="U251" s="15"/>
      <c r="V251" s="15"/>
    </row>
    <row r="252" spans="1:22">
      <c r="A252" s="253"/>
      <c r="B252" s="234" t="s">
        <v>121</v>
      </c>
      <c r="C252" s="249">
        <v>0</v>
      </c>
      <c r="D252" s="250">
        <v>0</v>
      </c>
      <c r="E252" s="250">
        <v>0</v>
      </c>
      <c r="F252" s="250">
        <v>0</v>
      </c>
      <c r="G252" s="250">
        <v>0</v>
      </c>
      <c r="H252" s="250">
        <v>0</v>
      </c>
      <c r="I252" s="250">
        <v>0</v>
      </c>
      <c r="J252" s="251">
        <v>0</v>
      </c>
      <c r="K252" s="249">
        <v>0</v>
      </c>
      <c r="L252" s="250">
        <v>0</v>
      </c>
      <c r="M252" s="250">
        <v>0</v>
      </c>
      <c r="N252" s="250">
        <v>0</v>
      </c>
      <c r="O252" s="249">
        <v>0</v>
      </c>
      <c r="P252" s="249">
        <v>0</v>
      </c>
      <c r="Q252" s="250">
        <v>0</v>
      </c>
      <c r="R252" s="252">
        <v>0</v>
      </c>
      <c r="S252" s="15"/>
      <c r="T252" s="15"/>
      <c r="U252" s="15"/>
      <c r="V252" s="15"/>
    </row>
    <row r="253" spans="1:22">
      <c r="A253" s="253"/>
      <c r="B253" s="254" t="s">
        <v>122</v>
      </c>
      <c r="C253" s="255">
        <v>0</v>
      </c>
      <c r="D253" s="256">
        <v>0</v>
      </c>
      <c r="E253" s="256">
        <v>0</v>
      </c>
      <c r="F253" s="256">
        <v>0</v>
      </c>
      <c r="G253" s="256">
        <v>0</v>
      </c>
      <c r="H253" s="256">
        <v>0</v>
      </c>
      <c r="I253" s="256">
        <v>0</v>
      </c>
      <c r="J253" s="257">
        <v>0</v>
      </c>
      <c r="K253" s="255">
        <v>0</v>
      </c>
      <c r="L253" s="256">
        <v>0</v>
      </c>
      <c r="M253" s="256">
        <v>0</v>
      </c>
      <c r="N253" s="256">
        <v>0</v>
      </c>
      <c r="O253" s="255">
        <v>0</v>
      </c>
      <c r="P253" s="255">
        <v>0</v>
      </c>
      <c r="Q253" s="256">
        <v>0</v>
      </c>
      <c r="R253" s="258">
        <v>0</v>
      </c>
      <c r="S253" s="15"/>
      <c r="T253" s="15"/>
      <c r="U253" s="15"/>
      <c r="V253" s="15"/>
    </row>
    <row r="254" spans="1:22" s="261" customFormat="1">
      <c r="A254" s="253"/>
      <c r="B254" s="317" t="s">
        <v>123</v>
      </c>
      <c r="C254" s="318">
        <v>0</v>
      </c>
      <c r="D254" s="319">
        <v>0</v>
      </c>
      <c r="E254" s="319">
        <v>0</v>
      </c>
      <c r="F254" s="319">
        <v>0</v>
      </c>
      <c r="G254" s="319">
        <v>0</v>
      </c>
      <c r="H254" s="319">
        <v>0</v>
      </c>
      <c r="I254" s="319">
        <v>0</v>
      </c>
      <c r="J254" s="320">
        <v>0</v>
      </c>
      <c r="K254" s="318">
        <v>0</v>
      </c>
      <c r="L254" s="319">
        <v>0</v>
      </c>
      <c r="M254" s="319">
        <v>0</v>
      </c>
      <c r="N254" s="319">
        <v>0</v>
      </c>
      <c r="O254" s="318">
        <v>0</v>
      </c>
      <c r="P254" s="321">
        <v>0</v>
      </c>
      <c r="Q254" s="319">
        <v>0</v>
      </c>
      <c r="R254" s="322">
        <v>0</v>
      </c>
      <c r="S254" s="15"/>
      <c r="T254" s="15"/>
      <c r="U254" s="15"/>
      <c r="V254" s="15"/>
    </row>
    <row r="255" spans="1:22">
      <c r="A255" s="253"/>
      <c r="B255" s="234" t="s">
        <v>124</v>
      </c>
      <c r="C255" s="249">
        <v>0</v>
      </c>
      <c r="D255" s="250">
        <v>0</v>
      </c>
      <c r="E255" s="250">
        <v>0</v>
      </c>
      <c r="F255" s="250">
        <v>0</v>
      </c>
      <c r="G255" s="250">
        <v>0</v>
      </c>
      <c r="H255" s="250">
        <v>0</v>
      </c>
      <c r="I255" s="250">
        <v>0</v>
      </c>
      <c r="J255" s="251">
        <v>0</v>
      </c>
      <c r="K255" s="249">
        <v>0</v>
      </c>
      <c r="L255" s="250">
        <v>0</v>
      </c>
      <c r="M255" s="250">
        <v>0</v>
      </c>
      <c r="N255" s="250">
        <v>0</v>
      </c>
      <c r="O255" s="249">
        <v>0</v>
      </c>
      <c r="P255" s="249">
        <v>0</v>
      </c>
      <c r="Q255" s="250">
        <v>0</v>
      </c>
      <c r="R255" s="252">
        <v>0</v>
      </c>
      <c r="S255" s="15"/>
      <c r="T255" s="15"/>
      <c r="U255" s="15"/>
      <c r="V255" s="15"/>
    </row>
    <row r="256" spans="1:22">
      <c r="A256" s="253"/>
      <c r="B256" s="254" t="s">
        <v>125</v>
      </c>
      <c r="C256" s="255">
        <v>0</v>
      </c>
      <c r="D256" s="256">
        <v>0</v>
      </c>
      <c r="E256" s="256">
        <v>0</v>
      </c>
      <c r="F256" s="256">
        <v>0</v>
      </c>
      <c r="G256" s="256">
        <v>0</v>
      </c>
      <c r="H256" s="256">
        <v>0</v>
      </c>
      <c r="I256" s="256">
        <v>0</v>
      </c>
      <c r="J256" s="257">
        <v>0</v>
      </c>
      <c r="K256" s="255">
        <v>0</v>
      </c>
      <c r="L256" s="256">
        <v>0</v>
      </c>
      <c r="M256" s="256">
        <v>0</v>
      </c>
      <c r="N256" s="256">
        <v>0</v>
      </c>
      <c r="O256" s="255">
        <v>0</v>
      </c>
      <c r="P256" s="255">
        <v>0</v>
      </c>
      <c r="Q256" s="256">
        <v>0</v>
      </c>
      <c r="R256" s="258">
        <v>0</v>
      </c>
      <c r="S256" s="15"/>
      <c r="T256" s="15"/>
      <c r="U256" s="15"/>
      <c r="V256" s="15"/>
    </row>
    <row r="257" spans="1:22" s="261" customFormat="1">
      <c r="A257" s="260"/>
      <c r="B257" s="317" t="s">
        <v>126</v>
      </c>
      <c r="C257" s="318">
        <v>0</v>
      </c>
      <c r="D257" s="319">
        <v>0</v>
      </c>
      <c r="E257" s="319">
        <v>0</v>
      </c>
      <c r="F257" s="319">
        <v>0</v>
      </c>
      <c r="G257" s="319">
        <v>0</v>
      </c>
      <c r="H257" s="319">
        <v>0</v>
      </c>
      <c r="I257" s="319">
        <v>0</v>
      </c>
      <c r="J257" s="320">
        <v>0</v>
      </c>
      <c r="K257" s="318">
        <v>0</v>
      </c>
      <c r="L257" s="319">
        <v>0</v>
      </c>
      <c r="M257" s="319">
        <v>0</v>
      </c>
      <c r="N257" s="319">
        <v>0</v>
      </c>
      <c r="O257" s="318">
        <v>0</v>
      </c>
      <c r="P257" s="321">
        <v>0</v>
      </c>
      <c r="Q257" s="319">
        <v>0</v>
      </c>
      <c r="R257" s="322">
        <v>0</v>
      </c>
      <c r="S257" s="15"/>
      <c r="T257" s="15"/>
      <c r="U257" s="15"/>
      <c r="V257" s="15"/>
    </row>
    <row r="258" spans="1:22">
      <c r="A258" s="248" t="s">
        <v>77</v>
      </c>
      <c r="B258" s="234" t="s">
        <v>91</v>
      </c>
      <c r="C258" s="249">
        <v>0.96501330050124001</v>
      </c>
      <c r="D258" s="250">
        <v>0.93847220499511808</v>
      </c>
      <c r="E258" s="250">
        <v>0.93130070029434664</v>
      </c>
      <c r="F258" s="250">
        <v>0.91057039129946127</v>
      </c>
      <c r="G258" s="250">
        <v>0</v>
      </c>
      <c r="H258" s="250">
        <v>1</v>
      </c>
      <c r="I258" s="250">
        <v>0</v>
      </c>
      <c r="J258" s="251">
        <v>0.80752353136494381</v>
      </c>
      <c r="K258" s="249">
        <v>0</v>
      </c>
      <c r="L258" s="250">
        <v>0.78384209543150063</v>
      </c>
      <c r="M258" s="250">
        <v>0.81886008188408832</v>
      </c>
      <c r="N258" s="250">
        <v>0.76565617362934568</v>
      </c>
      <c r="O258" s="249">
        <v>0.79173057257440538</v>
      </c>
      <c r="P258" s="249">
        <v>0</v>
      </c>
      <c r="Q258" s="250">
        <v>0</v>
      </c>
      <c r="R258" s="252">
        <v>0</v>
      </c>
      <c r="S258" s="15"/>
      <c r="T258" s="15"/>
      <c r="U258" s="15"/>
      <c r="V258" s="15"/>
    </row>
    <row r="259" spans="1:22">
      <c r="A259" s="253"/>
      <c r="B259" s="254" t="s">
        <v>92</v>
      </c>
      <c r="C259" s="255">
        <v>0.95874184385986638</v>
      </c>
      <c r="D259" s="256">
        <v>0.93101797583174273</v>
      </c>
      <c r="E259" s="256">
        <v>0.93007397692899463</v>
      </c>
      <c r="F259" s="256">
        <v>0.89597871856633082</v>
      </c>
      <c r="G259" s="256">
        <v>0</v>
      </c>
      <c r="H259" s="256">
        <v>1</v>
      </c>
      <c r="I259" s="256">
        <v>0</v>
      </c>
      <c r="J259" s="257">
        <v>0.79005568594876041</v>
      </c>
      <c r="K259" s="255">
        <v>0</v>
      </c>
      <c r="L259" s="256">
        <v>0.77085088798334789</v>
      </c>
      <c r="M259" s="256">
        <v>0.80206658086715754</v>
      </c>
      <c r="N259" s="256">
        <v>0.74015477384937867</v>
      </c>
      <c r="O259" s="255">
        <v>0.77735734006534019</v>
      </c>
      <c r="P259" s="255">
        <v>0</v>
      </c>
      <c r="Q259" s="256">
        <v>0</v>
      </c>
      <c r="R259" s="258">
        <v>0</v>
      </c>
      <c r="S259" s="15"/>
      <c r="T259" s="15"/>
      <c r="U259" s="15"/>
      <c r="V259" s="15"/>
    </row>
    <row r="260" spans="1:22" s="261" customFormat="1">
      <c r="A260" s="253"/>
      <c r="B260" s="317" t="s">
        <v>93</v>
      </c>
      <c r="C260" s="318">
        <v>-0.62714566413736295</v>
      </c>
      <c r="D260" s="319">
        <v>-0.74542291633753477</v>
      </c>
      <c r="E260" s="319">
        <v>-0.12267233653520115</v>
      </c>
      <c r="F260" s="319">
        <v>-1.4591672733130445</v>
      </c>
      <c r="G260" s="319">
        <v>0</v>
      </c>
      <c r="H260" s="319">
        <v>0</v>
      </c>
      <c r="I260" s="319">
        <v>0</v>
      </c>
      <c r="J260" s="320">
        <v>-1.7467845416183403</v>
      </c>
      <c r="K260" s="318">
        <v>0</v>
      </c>
      <c r="L260" s="319">
        <v>-1.2991207448152742</v>
      </c>
      <c r="M260" s="319">
        <v>-1.6793501016930779</v>
      </c>
      <c r="N260" s="319">
        <v>-2.5501399779967016</v>
      </c>
      <c r="O260" s="318">
        <v>-1.4373232509065192</v>
      </c>
      <c r="P260" s="321">
        <v>0</v>
      </c>
      <c r="Q260" s="319">
        <v>0</v>
      </c>
      <c r="R260" s="322">
        <v>0</v>
      </c>
      <c r="S260" s="15"/>
      <c r="T260" s="15"/>
      <c r="U260" s="15"/>
      <c r="V260" s="15"/>
    </row>
    <row r="261" spans="1:22">
      <c r="A261" s="253"/>
      <c r="B261" s="234" t="s">
        <v>94</v>
      </c>
      <c r="C261" s="249">
        <v>2.114316744617864E-2</v>
      </c>
      <c r="D261" s="250">
        <v>1.3018390066162681E-2</v>
      </c>
      <c r="E261" s="250">
        <v>1.9117236397939278E-2</v>
      </c>
      <c r="F261" s="250">
        <v>1.0441796459459954E-2</v>
      </c>
      <c r="G261" s="250">
        <v>0</v>
      </c>
      <c r="H261" s="250">
        <v>0</v>
      </c>
      <c r="I261" s="250">
        <v>0.1353601029710654</v>
      </c>
      <c r="J261" s="251">
        <v>3.2336876253923272E-2</v>
      </c>
      <c r="K261" s="249">
        <v>0</v>
      </c>
      <c r="L261" s="250">
        <v>9.3038288301915406E-2</v>
      </c>
      <c r="M261" s="250">
        <v>4.1575613873531529E-2</v>
      </c>
      <c r="N261" s="250">
        <v>9.4002736962537567E-2</v>
      </c>
      <c r="O261" s="249">
        <v>8.0365976004357464E-2</v>
      </c>
      <c r="P261" s="249">
        <v>0</v>
      </c>
      <c r="Q261" s="250">
        <v>0</v>
      </c>
      <c r="R261" s="252">
        <v>0</v>
      </c>
      <c r="S261" s="15"/>
      <c r="T261" s="15"/>
      <c r="U261" s="15"/>
      <c r="V261" s="15"/>
    </row>
    <row r="262" spans="1:22">
      <c r="A262" s="253"/>
      <c r="B262" s="254" t="s">
        <v>95</v>
      </c>
      <c r="C262" s="255">
        <v>2.2546404169340041E-2</v>
      </c>
      <c r="D262" s="256">
        <v>1.2137317597576219E-2</v>
      </c>
      <c r="E262" s="256">
        <v>1.8514476902824671E-2</v>
      </c>
      <c r="F262" s="256">
        <v>1.0875266066785287E-2</v>
      </c>
      <c r="G262" s="256">
        <v>0</v>
      </c>
      <c r="H262" s="256">
        <v>0</v>
      </c>
      <c r="I262" s="256">
        <v>9.1003135533265084E-2</v>
      </c>
      <c r="J262" s="257">
        <v>2.7222482577847006E-2</v>
      </c>
      <c r="K262" s="255">
        <v>0</v>
      </c>
      <c r="L262" s="256">
        <v>8.5737919729752768E-2</v>
      </c>
      <c r="M262" s="256">
        <v>3.9771096766388993E-2</v>
      </c>
      <c r="N262" s="256">
        <v>8.327190725490001E-2</v>
      </c>
      <c r="O262" s="255">
        <v>7.4141184794780518E-2</v>
      </c>
      <c r="P262" s="255">
        <v>0</v>
      </c>
      <c r="Q262" s="256">
        <v>0</v>
      </c>
      <c r="R262" s="258">
        <v>0</v>
      </c>
      <c r="S262" s="15"/>
      <c r="T262" s="15"/>
      <c r="U262" s="15"/>
      <c r="V262" s="15"/>
    </row>
    <row r="263" spans="1:22" s="261" customFormat="1">
      <c r="A263" s="253"/>
      <c r="B263" s="317" t="s">
        <v>96</v>
      </c>
      <c r="C263" s="318">
        <v>0.1403236723161401</v>
      </c>
      <c r="D263" s="319">
        <v>-8.810724685864614E-2</v>
      </c>
      <c r="E263" s="319">
        <v>-6.0275949511460689E-2</v>
      </c>
      <c r="F263" s="319">
        <v>4.3346960732533295E-2</v>
      </c>
      <c r="G263" s="319">
        <v>0</v>
      </c>
      <c r="H263" s="319">
        <v>0</v>
      </c>
      <c r="I263" s="331">
        <v>-4.4356967437800323</v>
      </c>
      <c r="J263" s="320">
        <v>-0.51143936760762665</v>
      </c>
      <c r="K263" s="318">
        <v>0</v>
      </c>
      <c r="L263" s="319">
        <v>-0.73003685721626388</v>
      </c>
      <c r="M263" s="319">
        <v>-0.18045171071425364</v>
      </c>
      <c r="N263" s="319">
        <v>-1.0730829707637557</v>
      </c>
      <c r="O263" s="318">
        <v>-0.62247912095769464</v>
      </c>
      <c r="P263" s="321">
        <v>0</v>
      </c>
      <c r="Q263" s="319">
        <v>0</v>
      </c>
      <c r="R263" s="322">
        <v>0</v>
      </c>
      <c r="S263" s="15"/>
      <c r="T263" s="15"/>
      <c r="U263" s="15"/>
      <c r="V263" s="15"/>
    </row>
    <row r="264" spans="1:22">
      <c r="A264" s="253"/>
      <c r="B264" s="234" t="s">
        <v>97</v>
      </c>
      <c r="C264" s="249">
        <v>1.3411860093241143E-2</v>
      </c>
      <c r="D264" s="250">
        <v>4.8509404938719212E-2</v>
      </c>
      <c r="E264" s="250">
        <v>4.9582063307714093E-2</v>
      </c>
      <c r="F264" s="250">
        <v>7.7622145495129344E-2</v>
      </c>
      <c r="G264" s="250">
        <v>0</v>
      </c>
      <c r="H264" s="250">
        <v>0</v>
      </c>
      <c r="I264" s="250">
        <v>0.86463989702893462</v>
      </c>
      <c r="J264" s="251">
        <v>0.15968058071909955</v>
      </c>
      <c r="K264" s="249">
        <v>0</v>
      </c>
      <c r="L264" s="250">
        <v>0.1211320217718776</v>
      </c>
      <c r="M264" s="250">
        <v>0.13610435524337236</v>
      </c>
      <c r="N264" s="250">
        <v>0.12979751732836881</v>
      </c>
      <c r="O264" s="249">
        <v>0.12519366985676625</v>
      </c>
      <c r="P264" s="249">
        <v>0</v>
      </c>
      <c r="Q264" s="250">
        <v>0</v>
      </c>
      <c r="R264" s="252">
        <v>0</v>
      </c>
      <c r="S264" s="15"/>
      <c r="T264" s="15"/>
      <c r="U264" s="15"/>
      <c r="V264" s="15"/>
    </row>
    <row r="265" spans="1:22">
      <c r="A265" s="253"/>
      <c r="B265" s="254" t="s">
        <v>98</v>
      </c>
      <c r="C265" s="255">
        <v>1.8711751970793607E-2</v>
      </c>
      <c r="D265" s="256">
        <v>5.6844706570681004E-2</v>
      </c>
      <c r="E265" s="256">
        <v>5.0943450261847323E-2</v>
      </c>
      <c r="F265" s="256">
        <v>8.9862326115949409E-2</v>
      </c>
      <c r="G265" s="256">
        <v>0</v>
      </c>
      <c r="H265" s="256">
        <v>0</v>
      </c>
      <c r="I265" s="256">
        <v>0.90899686446673489</v>
      </c>
      <c r="J265" s="257">
        <v>0.18183107599352594</v>
      </c>
      <c r="K265" s="255">
        <v>0</v>
      </c>
      <c r="L265" s="256">
        <v>0.14224875689928906</v>
      </c>
      <c r="M265" s="256">
        <v>0.15496601062524992</v>
      </c>
      <c r="N265" s="256">
        <v>0.16739417660908179</v>
      </c>
      <c r="O265" s="255">
        <v>0.14649155137231235</v>
      </c>
      <c r="P265" s="255">
        <v>0</v>
      </c>
      <c r="Q265" s="256">
        <v>0</v>
      </c>
      <c r="R265" s="258">
        <v>0</v>
      </c>
      <c r="S265" s="15"/>
      <c r="T265" s="15"/>
      <c r="U265" s="15"/>
      <c r="V265" s="15"/>
    </row>
    <row r="266" spans="1:22" s="261" customFormat="1">
      <c r="A266" s="253"/>
      <c r="B266" s="317" t="s">
        <v>99</v>
      </c>
      <c r="C266" s="318">
        <v>0.52998918775524639</v>
      </c>
      <c r="D266" s="319">
        <v>0.83353016319617912</v>
      </c>
      <c r="E266" s="319">
        <v>0.13613869541332299</v>
      </c>
      <c r="F266" s="319">
        <v>1.2240180620820065</v>
      </c>
      <c r="G266" s="319">
        <v>0</v>
      </c>
      <c r="H266" s="319">
        <v>0</v>
      </c>
      <c r="I266" s="331">
        <v>4.4356967437800261</v>
      </c>
      <c r="J266" s="320">
        <v>2.2150495274426389</v>
      </c>
      <c r="K266" s="318">
        <v>0</v>
      </c>
      <c r="L266" s="319">
        <v>2.111673512741147</v>
      </c>
      <c r="M266" s="319">
        <v>1.8861655381877562</v>
      </c>
      <c r="N266" s="319">
        <v>3.7596659280712985</v>
      </c>
      <c r="O266" s="318">
        <v>2.1297881515546098</v>
      </c>
      <c r="P266" s="321">
        <v>0</v>
      </c>
      <c r="Q266" s="319">
        <v>0</v>
      </c>
      <c r="R266" s="322">
        <v>0</v>
      </c>
      <c r="S266" s="15"/>
      <c r="T266" s="15"/>
      <c r="U266" s="15"/>
      <c r="V266" s="15"/>
    </row>
    <row r="267" spans="1:22">
      <c r="A267" s="253"/>
      <c r="B267" s="234" t="s">
        <v>100</v>
      </c>
      <c r="C267" s="249">
        <v>4.3167195934025508E-4</v>
      </c>
      <c r="D267" s="250">
        <v>0</v>
      </c>
      <c r="E267" s="250">
        <v>0</v>
      </c>
      <c r="F267" s="250">
        <v>1.3656667459493932E-3</v>
      </c>
      <c r="G267" s="250">
        <v>0</v>
      </c>
      <c r="H267" s="250">
        <v>0</v>
      </c>
      <c r="I267" s="250">
        <v>0</v>
      </c>
      <c r="J267" s="251">
        <v>4.5901166203334573E-4</v>
      </c>
      <c r="K267" s="249">
        <v>0</v>
      </c>
      <c r="L267" s="250">
        <v>1.0381036442869021E-3</v>
      </c>
      <c r="M267" s="250">
        <v>3.1143655080248739E-3</v>
      </c>
      <c r="N267" s="250">
        <v>1.0301005237422403E-2</v>
      </c>
      <c r="O267" s="249">
        <v>1.9390910957658451E-3</v>
      </c>
      <c r="P267" s="249">
        <v>0</v>
      </c>
      <c r="Q267" s="250">
        <v>0</v>
      </c>
      <c r="R267" s="252">
        <v>0</v>
      </c>
      <c r="S267" s="15"/>
      <c r="T267" s="15"/>
      <c r="U267" s="15"/>
      <c r="V267" s="15"/>
    </row>
    <row r="268" spans="1:22">
      <c r="A268" s="253"/>
      <c r="B268" s="254" t="s">
        <v>101</v>
      </c>
      <c r="C268" s="255">
        <v>0</v>
      </c>
      <c r="D268" s="256">
        <v>0</v>
      </c>
      <c r="E268" s="256">
        <v>4.680959063334166E-4</v>
      </c>
      <c r="F268" s="256">
        <v>3.2836892509344505E-3</v>
      </c>
      <c r="G268" s="256">
        <v>0</v>
      </c>
      <c r="H268" s="256">
        <v>0</v>
      </c>
      <c r="I268" s="256">
        <v>0</v>
      </c>
      <c r="J268" s="257">
        <v>8.9075547986664839E-4</v>
      </c>
      <c r="K268" s="255">
        <v>0</v>
      </c>
      <c r="L268" s="256">
        <v>6.9755620277754627E-4</v>
      </c>
      <c r="M268" s="256">
        <v>3.0444264482027469E-3</v>
      </c>
      <c r="N268" s="256">
        <v>9.1791422866395796E-3</v>
      </c>
      <c r="O268" s="255">
        <v>1.6429555759296087E-3</v>
      </c>
      <c r="P268" s="255">
        <v>0</v>
      </c>
      <c r="Q268" s="256">
        <v>0</v>
      </c>
      <c r="R268" s="258">
        <v>0</v>
      </c>
      <c r="S268" s="15"/>
      <c r="T268" s="15"/>
      <c r="U268" s="15"/>
      <c r="V268" s="15"/>
    </row>
    <row r="269" spans="1:22" s="261" customFormat="1">
      <c r="A269" s="253"/>
      <c r="B269" s="317" t="s">
        <v>102</v>
      </c>
      <c r="C269" s="318">
        <v>-4.3167195934025508E-2</v>
      </c>
      <c r="D269" s="319">
        <v>0</v>
      </c>
      <c r="E269" s="319">
        <v>0</v>
      </c>
      <c r="F269" s="319">
        <v>0.19180225049850574</v>
      </c>
      <c r="G269" s="319">
        <v>0</v>
      </c>
      <c r="H269" s="319">
        <v>0</v>
      </c>
      <c r="I269" s="319">
        <v>0</v>
      </c>
      <c r="J269" s="320">
        <v>4.3174381783330266E-2</v>
      </c>
      <c r="K269" s="318">
        <v>0</v>
      </c>
      <c r="L269" s="319">
        <v>-3.4054744150935581E-2</v>
      </c>
      <c r="M269" s="319">
        <v>-6.9939059822127052E-3</v>
      </c>
      <c r="N269" s="319">
        <v>-0.11218629507828234</v>
      </c>
      <c r="O269" s="318">
        <v>-2.9613551983623643E-2</v>
      </c>
      <c r="P269" s="321">
        <v>0</v>
      </c>
      <c r="Q269" s="319">
        <v>0</v>
      </c>
      <c r="R269" s="322">
        <v>0</v>
      </c>
      <c r="S269" s="15"/>
      <c r="T269" s="15"/>
      <c r="U269" s="15"/>
      <c r="V269" s="15"/>
    </row>
    <row r="270" spans="1:22">
      <c r="A270" s="253"/>
      <c r="B270" s="234" t="s">
        <v>103</v>
      </c>
      <c r="C270" s="249">
        <v>0</v>
      </c>
      <c r="D270" s="250">
        <v>0</v>
      </c>
      <c r="E270" s="250">
        <v>0</v>
      </c>
      <c r="F270" s="250">
        <v>0</v>
      </c>
      <c r="G270" s="250">
        <v>0</v>
      </c>
      <c r="H270" s="250">
        <v>0</v>
      </c>
      <c r="I270" s="250">
        <v>0</v>
      </c>
      <c r="J270" s="251">
        <v>0</v>
      </c>
      <c r="K270" s="249">
        <v>0</v>
      </c>
      <c r="L270" s="250">
        <v>9.4949085041936469E-4</v>
      </c>
      <c r="M270" s="250">
        <v>2.0159036974005127E-4</v>
      </c>
      <c r="N270" s="250">
        <v>0</v>
      </c>
      <c r="O270" s="249">
        <v>7.2495718814446337E-4</v>
      </c>
      <c r="P270" s="249">
        <v>0</v>
      </c>
      <c r="Q270" s="250">
        <v>0</v>
      </c>
      <c r="R270" s="252">
        <v>0</v>
      </c>
      <c r="S270" s="15"/>
      <c r="T270" s="15"/>
      <c r="U270" s="15"/>
      <c r="V270" s="15"/>
    </row>
    <row r="271" spans="1:22">
      <c r="A271" s="253"/>
      <c r="B271" s="254" t="s">
        <v>104</v>
      </c>
      <c r="C271" s="255">
        <v>0</v>
      </c>
      <c r="D271" s="256">
        <v>0</v>
      </c>
      <c r="E271" s="256">
        <v>0</v>
      </c>
      <c r="F271" s="256">
        <v>0</v>
      </c>
      <c r="G271" s="256">
        <v>0</v>
      </c>
      <c r="H271" s="256">
        <v>0</v>
      </c>
      <c r="I271" s="256">
        <v>0</v>
      </c>
      <c r="J271" s="257">
        <v>0</v>
      </c>
      <c r="K271" s="255">
        <v>0</v>
      </c>
      <c r="L271" s="256">
        <v>4.6487918483268742E-4</v>
      </c>
      <c r="M271" s="256">
        <v>0</v>
      </c>
      <c r="N271" s="256">
        <v>0</v>
      </c>
      <c r="O271" s="255">
        <v>3.2899437693497378E-4</v>
      </c>
      <c r="P271" s="255">
        <v>0</v>
      </c>
      <c r="Q271" s="256">
        <v>0</v>
      </c>
      <c r="R271" s="258">
        <v>0</v>
      </c>
      <c r="S271" s="15"/>
      <c r="T271" s="15"/>
      <c r="U271" s="15"/>
      <c r="V271" s="15"/>
    </row>
    <row r="272" spans="1:22" s="261" customFormat="1">
      <c r="A272" s="253"/>
      <c r="B272" s="317" t="s">
        <v>105</v>
      </c>
      <c r="C272" s="318">
        <v>0</v>
      </c>
      <c r="D272" s="319">
        <v>0</v>
      </c>
      <c r="E272" s="319">
        <v>0</v>
      </c>
      <c r="F272" s="319">
        <v>0</v>
      </c>
      <c r="G272" s="319">
        <v>0</v>
      </c>
      <c r="H272" s="319">
        <v>0</v>
      </c>
      <c r="I272" s="319">
        <v>0</v>
      </c>
      <c r="J272" s="320">
        <v>0</v>
      </c>
      <c r="K272" s="318">
        <v>0</v>
      </c>
      <c r="L272" s="319">
        <v>-4.846116655866773E-2</v>
      </c>
      <c r="M272" s="319">
        <v>-2.0159036974005125E-2</v>
      </c>
      <c r="N272" s="319">
        <v>0</v>
      </c>
      <c r="O272" s="318">
        <v>-3.9596281120948956E-2</v>
      </c>
      <c r="P272" s="321">
        <v>0</v>
      </c>
      <c r="Q272" s="319">
        <v>0</v>
      </c>
      <c r="R272" s="322">
        <v>0</v>
      </c>
      <c r="S272" s="15"/>
      <c r="T272" s="15"/>
      <c r="U272" s="15"/>
      <c r="V272" s="15"/>
    </row>
    <row r="273" spans="1:22">
      <c r="A273" s="253"/>
      <c r="B273" s="234" t="s">
        <v>106</v>
      </c>
      <c r="C273" s="249">
        <v>0</v>
      </c>
      <c r="D273" s="250">
        <v>0</v>
      </c>
      <c r="E273" s="250">
        <v>0</v>
      </c>
      <c r="F273" s="250">
        <v>0</v>
      </c>
      <c r="G273" s="250">
        <v>0</v>
      </c>
      <c r="H273" s="250">
        <v>0</v>
      </c>
      <c r="I273" s="250">
        <v>0</v>
      </c>
      <c r="J273" s="251">
        <v>0</v>
      </c>
      <c r="K273" s="249">
        <v>0</v>
      </c>
      <c r="L273" s="250">
        <v>0</v>
      </c>
      <c r="M273" s="250">
        <v>1.4399312124289376E-4</v>
      </c>
      <c r="N273" s="250">
        <v>2.4256684232548833E-4</v>
      </c>
      <c r="O273" s="249">
        <v>4.5733280560515213E-5</v>
      </c>
      <c r="P273" s="249">
        <v>0</v>
      </c>
      <c r="Q273" s="250">
        <v>0</v>
      </c>
      <c r="R273" s="252">
        <v>0</v>
      </c>
      <c r="S273" s="15"/>
      <c r="T273" s="15"/>
      <c r="U273" s="15"/>
      <c r="V273" s="15"/>
    </row>
    <row r="274" spans="1:22">
      <c r="A274" s="253"/>
      <c r="B274" s="254" t="s">
        <v>107</v>
      </c>
      <c r="C274" s="255">
        <v>0</v>
      </c>
      <c r="D274" s="256">
        <v>0</v>
      </c>
      <c r="E274" s="256">
        <v>0</v>
      </c>
      <c r="F274" s="256">
        <v>0</v>
      </c>
      <c r="G274" s="256">
        <v>0</v>
      </c>
      <c r="H274" s="256">
        <v>0</v>
      </c>
      <c r="I274" s="256">
        <v>0</v>
      </c>
      <c r="J274" s="257">
        <v>0</v>
      </c>
      <c r="K274" s="255">
        <v>0</v>
      </c>
      <c r="L274" s="256">
        <v>0</v>
      </c>
      <c r="M274" s="256">
        <v>1.5188529300084344E-4</v>
      </c>
      <c r="N274" s="256">
        <v>0</v>
      </c>
      <c r="O274" s="255">
        <v>3.7973814702402489E-5</v>
      </c>
      <c r="P274" s="255">
        <v>0</v>
      </c>
      <c r="Q274" s="256">
        <v>0</v>
      </c>
      <c r="R274" s="258">
        <v>0</v>
      </c>
      <c r="S274" s="15"/>
      <c r="T274" s="15"/>
      <c r="U274" s="15"/>
      <c r="V274" s="15"/>
    </row>
    <row r="275" spans="1:22" s="261" customFormat="1">
      <c r="A275" s="253"/>
      <c r="B275" s="317" t="s">
        <v>108</v>
      </c>
      <c r="C275" s="318">
        <v>0</v>
      </c>
      <c r="D275" s="319">
        <v>0</v>
      </c>
      <c r="E275" s="319">
        <v>0</v>
      </c>
      <c r="F275" s="319">
        <v>0</v>
      </c>
      <c r="G275" s="319">
        <v>0</v>
      </c>
      <c r="H275" s="319">
        <v>0</v>
      </c>
      <c r="I275" s="319">
        <v>0</v>
      </c>
      <c r="J275" s="320">
        <v>0</v>
      </c>
      <c r="K275" s="318">
        <v>0</v>
      </c>
      <c r="L275" s="319">
        <v>0</v>
      </c>
      <c r="M275" s="319">
        <v>7.8921717579496717E-4</v>
      </c>
      <c r="N275" s="319">
        <v>-2.4256684232548831E-2</v>
      </c>
      <c r="O275" s="318">
        <v>-7.7594658581127244E-4</v>
      </c>
      <c r="P275" s="321">
        <v>0</v>
      </c>
      <c r="Q275" s="319">
        <v>0</v>
      </c>
      <c r="R275" s="322">
        <v>0</v>
      </c>
      <c r="S275" s="15"/>
      <c r="T275" s="15"/>
      <c r="U275" s="15"/>
      <c r="V275" s="15"/>
    </row>
    <row r="276" spans="1:22">
      <c r="A276" s="253"/>
      <c r="B276" s="234" t="s">
        <v>109</v>
      </c>
      <c r="C276" s="249">
        <v>0.73544902567640513</v>
      </c>
      <c r="D276" s="250">
        <v>0.80967566452193818</v>
      </c>
      <c r="E276" s="250">
        <v>0.61864049611656335</v>
      </c>
      <c r="F276" s="250">
        <v>0.4543692870201097</v>
      </c>
      <c r="G276" s="250">
        <v>0</v>
      </c>
      <c r="H276" s="250">
        <v>1</v>
      </c>
      <c r="I276" s="250">
        <v>0</v>
      </c>
      <c r="J276" s="251">
        <v>0.44578250664702074</v>
      </c>
      <c r="K276" s="249">
        <v>0</v>
      </c>
      <c r="L276" s="250">
        <v>0</v>
      </c>
      <c r="M276" s="250">
        <v>0</v>
      </c>
      <c r="N276" s="250">
        <v>0</v>
      </c>
      <c r="O276" s="249">
        <v>0</v>
      </c>
      <c r="P276" s="249">
        <v>0</v>
      </c>
      <c r="Q276" s="250">
        <v>0</v>
      </c>
      <c r="R276" s="252">
        <v>0</v>
      </c>
      <c r="S276" s="15"/>
      <c r="T276" s="15"/>
      <c r="U276" s="15"/>
      <c r="V276" s="15"/>
    </row>
    <row r="277" spans="1:22">
      <c r="A277" s="253"/>
      <c r="B277" s="254" t="s">
        <v>110</v>
      </c>
      <c r="C277" s="255">
        <v>0.72345835982199613</v>
      </c>
      <c r="D277" s="256">
        <v>0.81701603865444328</v>
      </c>
      <c r="E277" s="256">
        <v>0.64088388184773726</v>
      </c>
      <c r="F277" s="256">
        <v>0.78402726841265047</v>
      </c>
      <c r="G277" s="256">
        <v>0</v>
      </c>
      <c r="H277" s="256">
        <v>1</v>
      </c>
      <c r="I277" s="256">
        <v>0</v>
      </c>
      <c r="J277" s="257">
        <v>0.49931684774525165</v>
      </c>
      <c r="K277" s="255">
        <v>0</v>
      </c>
      <c r="L277" s="256">
        <v>0</v>
      </c>
      <c r="M277" s="256">
        <v>0</v>
      </c>
      <c r="N277" s="256">
        <v>0</v>
      </c>
      <c r="O277" s="255">
        <v>0</v>
      </c>
      <c r="P277" s="255">
        <v>0</v>
      </c>
      <c r="Q277" s="256">
        <v>0</v>
      </c>
      <c r="R277" s="258">
        <v>0</v>
      </c>
      <c r="S277" s="15"/>
      <c r="T277" s="15"/>
      <c r="U277" s="15"/>
      <c r="V277" s="15"/>
    </row>
    <row r="278" spans="1:22" s="261" customFormat="1">
      <c r="A278" s="253"/>
      <c r="B278" s="317" t="s">
        <v>111</v>
      </c>
      <c r="C278" s="318">
        <v>-1.1990665854408999</v>
      </c>
      <c r="D278" s="319">
        <v>0.73403741325051008</v>
      </c>
      <c r="E278" s="319">
        <v>2.2243385731173904</v>
      </c>
      <c r="F278" s="331">
        <v>32.965798139254076</v>
      </c>
      <c r="G278" s="319">
        <v>0</v>
      </c>
      <c r="H278" s="319">
        <v>0</v>
      </c>
      <c r="I278" s="319">
        <v>0</v>
      </c>
      <c r="J278" s="320">
        <v>5.3534341098230911</v>
      </c>
      <c r="K278" s="318">
        <v>0</v>
      </c>
      <c r="L278" s="319">
        <v>0</v>
      </c>
      <c r="M278" s="319">
        <v>0</v>
      </c>
      <c r="N278" s="319">
        <v>0</v>
      </c>
      <c r="O278" s="318">
        <v>0</v>
      </c>
      <c r="P278" s="321">
        <v>0</v>
      </c>
      <c r="Q278" s="319">
        <v>0</v>
      </c>
      <c r="R278" s="322">
        <v>0</v>
      </c>
      <c r="S278" s="605"/>
      <c r="T278" s="15"/>
      <c r="U278" s="15"/>
      <c r="V278" s="15"/>
    </row>
    <row r="279" spans="1:22">
      <c r="A279" s="253"/>
      <c r="B279" s="234" t="s">
        <v>112</v>
      </c>
      <c r="C279" s="249">
        <v>0.22377662581566263</v>
      </c>
      <c r="D279" s="250">
        <v>6.6968054174717212E-2</v>
      </c>
      <c r="E279" s="250">
        <v>0.27403387148103869</v>
      </c>
      <c r="F279" s="250">
        <v>3.5189344476364584E-2</v>
      </c>
      <c r="G279" s="250">
        <v>0</v>
      </c>
      <c r="H279" s="250">
        <v>0</v>
      </c>
      <c r="I279" s="250">
        <v>0</v>
      </c>
      <c r="J279" s="251">
        <v>9.6447523561701193E-2</v>
      </c>
      <c r="K279" s="249">
        <v>0</v>
      </c>
      <c r="L279" s="250">
        <v>0</v>
      </c>
      <c r="M279" s="250">
        <v>0</v>
      </c>
      <c r="N279" s="250">
        <v>0</v>
      </c>
      <c r="O279" s="249">
        <v>0</v>
      </c>
      <c r="P279" s="249">
        <v>0</v>
      </c>
      <c r="Q279" s="250">
        <v>0</v>
      </c>
      <c r="R279" s="252">
        <v>0</v>
      </c>
      <c r="S279" s="15"/>
      <c r="T279" s="15"/>
      <c r="U279" s="15"/>
      <c r="V279" s="15"/>
    </row>
    <row r="280" spans="1:22">
      <c r="A280" s="253"/>
      <c r="B280" s="254" t="s">
        <v>113</v>
      </c>
      <c r="C280" s="255">
        <v>0.23422482108350695</v>
      </c>
      <c r="D280" s="256">
        <v>5.0136870533335785E-2</v>
      </c>
      <c r="E280" s="256">
        <v>0.2190058937046889</v>
      </c>
      <c r="F280" s="256">
        <v>3.8641756914182167E-2</v>
      </c>
      <c r="G280" s="256">
        <v>0</v>
      </c>
      <c r="H280" s="256">
        <v>0</v>
      </c>
      <c r="I280" s="256">
        <v>0</v>
      </c>
      <c r="J280" s="257">
        <v>9.8609136599319955E-2</v>
      </c>
      <c r="K280" s="255">
        <v>0</v>
      </c>
      <c r="L280" s="256">
        <v>0</v>
      </c>
      <c r="M280" s="256">
        <v>0</v>
      </c>
      <c r="N280" s="256">
        <v>0</v>
      </c>
      <c r="O280" s="255">
        <v>0</v>
      </c>
      <c r="P280" s="255">
        <v>0</v>
      </c>
      <c r="Q280" s="256">
        <v>0</v>
      </c>
      <c r="R280" s="258">
        <v>0</v>
      </c>
      <c r="S280" s="15"/>
      <c r="T280" s="15"/>
      <c r="U280" s="15"/>
      <c r="V280" s="15"/>
    </row>
    <row r="281" spans="1:22" s="261" customFormat="1">
      <c r="A281" s="253"/>
      <c r="B281" s="317" t="s">
        <v>114</v>
      </c>
      <c r="C281" s="318">
        <v>1.0448195267844325</v>
      </c>
      <c r="D281" s="319">
        <v>-1.6831183641381426</v>
      </c>
      <c r="E281" s="319">
        <v>-5.5027977776349797</v>
      </c>
      <c r="F281" s="319">
        <v>0.34524124378175824</v>
      </c>
      <c r="G281" s="319">
        <v>0</v>
      </c>
      <c r="H281" s="319">
        <v>0</v>
      </c>
      <c r="I281" s="319">
        <v>0</v>
      </c>
      <c r="J281" s="320">
        <v>0.2161613037618762</v>
      </c>
      <c r="K281" s="318">
        <v>0</v>
      </c>
      <c r="L281" s="319">
        <v>0</v>
      </c>
      <c r="M281" s="319">
        <v>0</v>
      </c>
      <c r="N281" s="319">
        <v>0</v>
      </c>
      <c r="O281" s="318">
        <v>0</v>
      </c>
      <c r="P281" s="321">
        <v>0</v>
      </c>
      <c r="Q281" s="319">
        <v>0</v>
      </c>
      <c r="R281" s="322">
        <v>0</v>
      </c>
      <c r="S281" s="15"/>
      <c r="T281" s="15"/>
      <c r="U281" s="15"/>
      <c r="V281" s="15"/>
    </row>
    <row r="282" spans="1:22">
      <c r="A282" s="253"/>
      <c r="B282" s="234" t="s">
        <v>115</v>
      </c>
      <c r="C282" s="249">
        <v>3.445026813461987E-2</v>
      </c>
      <c r="D282" s="250">
        <v>0.11375189930405748</v>
      </c>
      <c r="E282" s="250">
        <v>0.10490009719343213</v>
      </c>
      <c r="F282" s="250">
        <v>0.50295116218333769</v>
      </c>
      <c r="G282" s="250">
        <v>0</v>
      </c>
      <c r="H282" s="250">
        <v>0</v>
      </c>
      <c r="I282" s="250">
        <v>1</v>
      </c>
      <c r="J282" s="251">
        <v>0.45292618461795175</v>
      </c>
      <c r="K282" s="249">
        <v>0</v>
      </c>
      <c r="L282" s="250">
        <v>0</v>
      </c>
      <c r="M282" s="250">
        <v>0</v>
      </c>
      <c r="N282" s="250">
        <v>0</v>
      </c>
      <c r="O282" s="249">
        <v>0</v>
      </c>
      <c r="P282" s="249">
        <v>0</v>
      </c>
      <c r="Q282" s="250">
        <v>0</v>
      </c>
      <c r="R282" s="252">
        <v>0</v>
      </c>
      <c r="S282" s="15"/>
      <c r="T282" s="15"/>
      <c r="U282" s="15"/>
      <c r="V282" s="15"/>
    </row>
    <row r="283" spans="1:22">
      <c r="A283" s="253"/>
      <c r="B283" s="254" t="s">
        <v>116</v>
      </c>
      <c r="C283" s="255">
        <v>3.6343494489309069E-2</v>
      </c>
      <c r="D283" s="256">
        <v>0.13284709081222099</v>
      </c>
      <c r="E283" s="256">
        <v>0.13442514647333925</v>
      </c>
      <c r="F283" s="256">
        <v>0.15325538249126289</v>
      </c>
      <c r="G283" s="256">
        <v>0</v>
      </c>
      <c r="H283" s="256">
        <v>0</v>
      </c>
      <c r="I283" s="256">
        <v>1</v>
      </c>
      <c r="J283" s="257">
        <v>0.39504187117996825</v>
      </c>
      <c r="K283" s="255">
        <v>0</v>
      </c>
      <c r="L283" s="256">
        <v>0</v>
      </c>
      <c r="M283" s="256">
        <v>0</v>
      </c>
      <c r="N283" s="256">
        <v>0</v>
      </c>
      <c r="O283" s="255">
        <v>0</v>
      </c>
      <c r="P283" s="255">
        <v>0</v>
      </c>
      <c r="Q283" s="256">
        <v>0</v>
      </c>
      <c r="R283" s="258">
        <v>0</v>
      </c>
      <c r="S283" s="15"/>
      <c r="T283" s="15"/>
      <c r="U283" s="15"/>
      <c r="V283" s="15"/>
    </row>
    <row r="284" spans="1:22" s="261" customFormat="1">
      <c r="A284" s="253"/>
      <c r="B284" s="317" t="s">
        <v>117</v>
      </c>
      <c r="C284" s="318">
        <v>0.18932263546891995</v>
      </c>
      <c r="D284" s="319">
        <v>1.9095191508163509</v>
      </c>
      <c r="E284" s="319">
        <v>2.9525049279907121</v>
      </c>
      <c r="F284" s="331">
        <v>-34.969577969207478</v>
      </c>
      <c r="G284" s="319">
        <v>0</v>
      </c>
      <c r="H284" s="319">
        <v>0</v>
      </c>
      <c r="I284" s="319">
        <v>0</v>
      </c>
      <c r="J284" s="320">
        <v>-5.7884313437983508</v>
      </c>
      <c r="K284" s="318">
        <v>0</v>
      </c>
      <c r="L284" s="319">
        <v>0</v>
      </c>
      <c r="M284" s="319">
        <v>0</v>
      </c>
      <c r="N284" s="319">
        <v>0</v>
      </c>
      <c r="O284" s="318">
        <v>0</v>
      </c>
      <c r="P284" s="321">
        <v>0</v>
      </c>
      <c r="Q284" s="319">
        <v>0</v>
      </c>
      <c r="R284" s="322">
        <v>0</v>
      </c>
      <c r="S284" s="15"/>
      <c r="T284" s="15"/>
      <c r="U284" s="15"/>
      <c r="V284" s="15"/>
    </row>
    <row r="285" spans="1:22">
      <c r="A285" s="253"/>
      <c r="B285" s="234" t="s">
        <v>118</v>
      </c>
      <c r="C285" s="249">
        <v>6.3240803733123812E-3</v>
      </c>
      <c r="D285" s="250">
        <v>8.3288000150068472E-3</v>
      </c>
      <c r="E285" s="250">
        <v>2.4255352089658793E-3</v>
      </c>
      <c r="F285" s="250">
        <v>7.4902063201880385E-3</v>
      </c>
      <c r="G285" s="250">
        <v>0</v>
      </c>
      <c r="H285" s="250">
        <v>0</v>
      </c>
      <c r="I285" s="250">
        <v>0</v>
      </c>
      <c r="J285" s="251">
        <v>4.7367401971201749E-3</v>
      </c>
      <c r="K285" s="249">
        <v>0</v>
      </c>
      <c r="L285" s="250">
        <v>0</v>
      </c>
      <c r="M285" s="250">
        <v>0</v>
      </c>
      <c r="N285" s="250">
        <v>0</v>
      </c>
      <c r="O285" s="249">
        <v>0</v>
      </c>
      <c r="P285" s="249">
        <v>0</v>
      </c>
      <c r="Q285" s="250">
        <v>0</v>
      </c>
      <c r="R285" s="252">
        <v>0</v>
      </c>
      <c r="S285" s="15"/>
      <c r="T285" s="15"/>
      <c r="U285" s="15"/>
      <c r="V285" s="15"/>
    </row>
    <row r="286" spans="1:22">
      <c r="A286" s="253"/>
      <c r="B286" s="254" t="s">
        <v>119</v>
      </c>
      <c r="C286" s="255">
        <v>5.9733246051877917E-3</v>
      </c>
      <c r="D286" s="256">
        <v>0</v>
      </c>
      <c r="E286" s="256">
        <v>5.6850779742346012E-3</v>
      </c>
      <c r="F286" s="256">
        <v>2.4075592181904474E-2</v>
      </c>
      <c r="G286" s="256">
        <v>0</v>
      </c>
      <c r="H286" s="256">
        <v>0</v>
      </c>
      <c r="I286" s="256">
        <v>0</v>
      </c>
      <c r="J286" s="257">
        <v>7.0321444754601337E-3</v>
      </c>
      <c r="K286" s="255">
        <v>0</v>
      </c>
      <c r="L286" s="256">
        <v>0</v>
      </c>
      <c r="M286" s="256">
        <v>0</v>
      </c>
      <c r="N286" s="256">
        <v>0</v>
      </c>
      <c r="O286" s="255">
        <v>0</v>
      </c>
      <c r="P286" s="255">
        <v>0</v>
      </c>
      <c r="Q286" s="256">
        <v>0</v>
      </c>
      <c r="R286" s="258">
        <v>0</v>
      </c>
      <c r="S286" s="15"/>
      <c r="T286" s="15"/>
      <c r="U286" s="15"/>
      <c r="V286" s="15"/>
    </row>
    <row r="287" spans="1:22" s="261" customFormat="1">
      <c r="A287" s="253"/>
      <c r="B287" s="317" t="s">
        <v>120</v>
      </c>
      <c r="C287" s="318">
        <v>-3.5075576812458945E-2</v>
      </c>
      <c r="D287" s="319">
        <v>-0.83288000150068475</v>
      </c>
      <c r="E287" s="319">
        <v>0.3259542765268722</v>
      </c>
      <c r="F287" s="319">
        <v>1.6585385861716435</v>
      </c>
      <c r="G287" s="319">
        <v>0</v>
      </c>
      <c r="H287" s="319">
        <v>0</v>
      </c>
      <c r="I287" s="319">
        <v>0</v>
      </c>
      <c r="J287" s="320">
        <v>0.22954042783399586</v>
      </c>
      <c r="K287" s="318">
        <v>0</v>
      </c>
      <c r="L287" s="319">
        <v>0</v>
      </c>
      <c r="M287" s="319">
        <v>0</v>
      </c>
      <c r="N287" s="319">
        <v>0</v>
      </c>
      <c r="O287" s="318">
        <v>0</v>
      </c>
      <c r="P287" s="321">
        <v>0</v>
      </c>
      <c r="Q287" s="319">
        <v>0</v>
      </c>
      <c r="R287" s="322">
        <v>0</v>
      </c>
      <c r="S287" s="15"/>
      <c r="T287" s="15"/>
      <c r="U287" s="15"/>
      <c r="V287" s="15"/>
    </row>
    <row r="288" spans="1:22">
      <c r="A288" s="253"/>
      <c r="B288" s="234" t="s">
        <v>121</v>
      </c>
      <c r="C288" s="249">
        <v>0</v>
      </c>
      <c r="D288" s="250">
        <v>1.2755819842803278E-3</v>
      </c>
      <c r="E288" s="250">
        <v>0</v>
      </c>
      <c r="F288" s="250">
        <v>0</v>
      </c>
      <c r="G288" s="250">
        <v>0</v>
      </c>
      <c r="H288" s="250">
        <v>0</v>
      </c>
      <c r="I288" s="250">
        <v>0</v>
      </c>
      <c r="J288" s="251">
        <v>1.0704497620610566E-4</v>
      </c>
      <c r="K288" s="249">
        <v>0</v>
      </c>
      <c r="L288" s="250">
        <v>0</v>
      </c>
      <c r="M288" s="250">
        <v>0</v>
      </c>
      <c r="N288" s="250">
        <v>0</v>
      </c>
      <c r="O288" s="249">
        <v>0</v>
      </c>
      <c r="P288" s="249">
        <v>0</v>
      </c>
      <c r="Q288" s="250">
        <v>0</v>
      </c>
      <c r="R288" s="252">
        <v>0</v>
      </c>
      <c r="S288" s="15"/>
      <c r="T288" s="15"/>
      <c r="U288" s="15"/>
      <c r="V288" s="15"/>
    </row>
    <row r="289" spans="1:22">
      <c r="A289" s="253"/>
      <c r="B289" s="254" t="s">
        <v>122</v>
      </c>
      <c r="C289" s="255">
        <v>0</v>
      </c>
      <c r="D289" s="256">
        <v>0</v>
      </c>
      <c r="E289" s="256">
        <v>0</v>
      </c>
      <c r="F289" s="256">
        <v>0</v>
      </c>
      <c r="G289" s="256">
        <v>0</v>
      </c>
      <c r="H289" s="256">
        <v>0</v>
      </c>
      <c r="I289" s="256">
        <v>0</v>
      </c>
      <c r="J289" s="257">
        <v>0</v>
      </c>
      <c r="K289" s="255">
        <v>0</v>
      </c>
      <c r="L289" s="256">
        <v>0</v>
      </c>
      <c r="M289" s="256">
        <v>0</v>
      </c>
      <c r="N289" s="256">
        <v>0</v>
      </c>
      <c r="O289" s="255">
        <v>0</v>
      </c>
      <c r="P289" s="255">
        <v>0</v>
      </c>
      <c r="Q289" s="256">
        <v>0</v>
      </c>
      <c r="R289" s="258">
        <v>0</v>
      </c>
      <c r="S289" s="15"/>
      <c r="T289" s="15"/>
      <c r="U289" s="15"/>
      <c r="V289" s="15"/>
    </row>
    <row r="290" spans="1:22" s="261" customFormat="1">
      <c r="A290" s="253"/>
      <c r="B290" s="317" t="s">
        <v>123</v>
      </c>
      <c r="C290" s="318">
        <v>0</v>
      </c>
      <c r="D290" s="319">
        <v>-0.12755819842803279</v>
      </c>
      <c r="E290" s="319">
        <v>0</v>
      </c>
      <c r="F290" s="319">
        <v>0</v>
      </c>
      <c r="G290" s="319">
        <v>0</v>
      </c>
      <c r="H290" s="319">
        <v>0</v>
      </c>
      <c r="I290" s="319">
        <v>0</v>
      </c>
      <c r="J290" s="320">
        <v>-1.0704497620610565E-2</v>
      </c>
      <c r="K290" s="318">
        <v>0</v>
      </c>
      <c r="L290" s="319">
        <v>0</v>
      </c>
      <c r="M290" s="319">
        <v>0</v>
      </c>
      <c r="N290" s="319">
        <v>0</v>
      </c>
      <c r="O290" s="318">
        <v>0</v>
      </c>
      <c r="P290" s="321">
        <v>0</v>
      </c>
      <c r="Q290" s="319">
        <v>0</v>
      </c>
      <c r="R290" s="322">
        <v>0</v>
      </c>
      <c r="S290" s="15"/>
      <c r="T290" s="15"/>
      <c r="U290" s="15"/>
      <c r="V290" s="15"/>
    </row>
    <row r="291" spans="1:22">
      <c r="A291" s="253"/>
      <c r="B291" s="234" t="s">
        <v>124</v>
      </c>
      <c r="C291" s="249">
        <v>0</v>
      </c>
      <c r="D291" s="250">
        <v>0</v>
      </c>
      <c r="E291" s="250">
        <v>0</v>
      </c>
      <c r="F291" s="250">
        <v>0</v>
      </c>
      <c r="G291" s="250">
        <v>0</v>
      </c>
      <c r="H291" s="250">
        <v>0</v>
      </c>
      <c r="I291" s="250">
        <v>0</v>
      </c>
      <c r="J291" s="251">
        <v>0</v>
      </c>
      <c r="K291" s="249">
        <v>0</v>
      </c>
      <c r="L291" s="250">
        <v>0</v>
      </c>
      <c r="M291" s="250">
        <v>0</v>
      </c>
      <c r="N291" s="250">
        <v>0</v>
      </c>
      <c r="O291" s="249">
        <v>0</v>
      </c>
      <c r="P291" s="249">
        <v>0</v>
      </c>
      <c r="Q291" s="250">
        <v>0</v>
      </c>
      <c r="R291" s="252">
        <v>0</v>
      </c>
      <c r="S291" s="15"/>
      <c r="T291" s="15"/>
      <c r="U291" s="15"/>
      <c r="V291" s="15"/>
    </row>
    <row r="292" spans="1:22">
      <c r="A292" s="253"/>
      <c r="B292" s="254" t="s">
        <v>125</v>
      </c>
      <c r="C292" s="255">
        <v>0</v>
      </c>
      <c r="D292" s="256">
        <v>0</v>
      </c>
      <c r="E292" s="256">
        <v>0</v>
      </c>
      <c r="F292" s="256">
        <v>0</v>
      </c>
      <c r="G292" s="256">
        <v>0</v>
      </c>
      <c r="H292" s="256">
        <v>0</v>
      </c>
      <c r="I292" s="256">
        <v>0</v>
      </c>
      <c r="J292" s="257">
        <v>0</v>
      </c>
      <c r="K292" s="255">
        <v>0</v>
      </c>
      <c r="L292" s="256">
        <v>0</v>
      </c>
      <c r="M292" s="256">
        <v>0</v>
      </c>
      <c r="N292" s="256">
        <v>0</v>
      </c>
      <c r="O292" s="255">
        <v>0</v>
      </c>
      <c r="P292" s="255">
        <v>0</v>
      </c>
      <c r="Q292" s="256">
        <v>0</v>
      </c>
      <c r="R292" s="258">
        <v>0</v>
      </c>
      <c r="S292" s="15"/>
      <c r="T292" s="15"/>
      <c r="U292" s="15"/>
      <c r="V292" s="15"/>
    </row>
    <row r="293" spans="1:22" s="261" customFormat="1">
      <c r="A293" s="260"/>
      <c r="B293" s="317" t="s">
        <v>126</v>
      </c>
      <c r="C293" s="318">
        <v>0</v>
      </c>
      <c r="D293" s="319">
        <v>0</v>
      </c>
      <c r="E293" s="319">
        <v>0</v>
      </c>
      <c r="F293" s="319">
        <v>0</v>
      </c>
      <c r="G293" s="319">
        <v>0</v>
      </c>
      <c r="H293" s="319">
        <v>0</v>
      </c>
      <c r="I293" s="319">
        <v>0</v>
      </c>
      <c r="J293" s="320">
        <v>0</v>
      </c>
      <c r="K293" s="318">
        <v>0</v>
      </c>
      <c r="L293" s="319">
        <v>0</v>
      </c>
      <c r="M293" s="319">
        <v>0</v>
      </c>
      <c r="N293" s="319">
        <v>0</v>
      </c>
      <c r="O293" s="318">
        <v>0</v>
      </c>
      <c r="P293" s="321">
        <v>0</v>
      </c>
      <c r="Q293" s="319">
        <v>0</v>
      </c>
      <c r="R293" s="322">
        <v>0</v>
      </c>
      <c r="S293" s="15"/>
      <c r="T293" s="15"/>
      <c r="U293" s="15"/>
      <c r="V293" s="15"/>
    </row>
    <row r="294" spans="1:22">
      <c r="A294" s="248" t="s">
        <v>78</v>
      </c>
      <c r="B294" s="234" t="s">
        <v>91</v>
      </c>
      <c r="C294" s="249">
        <v>0.86160152939553403</v>
      </c>
      <c r="D294" s="250">
        <v>0.90144906446167028</v>
      </c>
      <c r="E294" s="250">
        <v>0</v>
      </c>
      <c r="F294" s="250">
        <v>0.84482207449836655</v>
      </c>
      <c r="G294" s="250">
        <v>0.69584602691038333</v>
      </c>
      <c r="H294" s="250">
        <v>0</v>
      </c>
      <c r="I294" s="250">
        <v>0</v>
      </c>
      <c r="J294" s="251">
        <v>0.86695414333028065</v>
      </c>
      <c r="K294" s="249">
        <v>0</v>
      </c>
      <c r="L294" s="250">
        <v>0.79418558883547463</v>
      </c>
      <c r="M294" s="250">
        <v>0.83587410786165284</v>
      </c>
      <c r="N294" s="250">
        <v>0.9025271659935884</v>
      </c>
      <c r="O294" s="249">
        <v>0.81981580444048663</v>
      </c>
      <c r="P294" s="249">
        <v>0</v>
      </c>
      <c r="Q294" s="250">
        <v>0</v>
      </c>
      <c r="R294" s="252">
        <v>0</v>
      </c>
      <c r="S294" s="15"/>
      <c r="T294" s="15"/>
      <c r="U294" s="15"/>
      <c r="V294" s="15"/>
    </row>
    <row r="295" spans="1:22">
      <c r="A295" s="253"/>
      <c r="B295" s="254" t="s">
        <v>92</v>
      </c>
      <c r="C295" s="255">
        <v>0.86108211452785755</v>
      </c>
      <c r="D295" s="256">
        <v>0.90207811742030841</v>
      </c>
      <c r="E295" s="256">
        <v>0</v>
      </c>
      <c r="F295" s="256">
        <v>0.81185871713223046</v>
      </c>
      <c r="G295" s="256">
        <v>0.59079616704128712</v>
      </c>
      <c r="H295" s="256">
        <v>0</v>
      </c>
      <c r="I295" s="256">
        <v>0</v>
      </c>
      <c r="J295" s="257">
        <v>0.85844021326103348</v>
      </c>
      <c r="K295" s="255">
        <v>0</v>
      </c>
      <c r="L295" s="256">
        <v>0.78568459219513254</v>
      </c>
      <c r="M295" s="256">
        <v>0.81539041483182262</v>
      </c>
      <c r="N295" s="256">
        <v>0.87860860969092225</v>
      </c>
      <c r="O295" s="255">
        <v>0.80526885157172789</v>
      </c>
      <c r="P295" s="255">
        <v>0</v>
      </c>
      <c r="Q295" s="256">
        <v>0</v>
      </c>
      <c r="R295" s="258">
        <v>0</v>
      </c>
      <c r="S295" s="15"/>
      <c r="T295" s="15"/>
      <c r="U295" s="15"/>
      <c r="V295" s="15"/>
    </row>
    <row r="296" spans="1:22">
      <c r="A296" s="253"/>
      <c r="B296" s="317" t="s">
        <v>93</v>
      </c>
      <c r="C296" s="318">
        <v>-5.1941486767648204E-2</v>
      </c>
      <c r="D296" s="319">
        <v>6.2905295863813215E-2</v>
      </c>
      <c r="E296" s="319">
        <v>0</v>
      </c>
      <c r="F296" s="319">
        <v>-3.2963357366136092</v>
      </c>
      <c r="G296" s="331">
        <v>-10.50498598690962</v>
      </c>
      <c r="H296" s="319">
        <v>0</v>
      </c>
      <c r="I296" s="319">
        <v>0</v>
      </c>
      <c r="J296" s="320">
        <v>-0.85139300692471664</v>
      </c>
      <c r="K296" s="318">
        <v>0</v>
      </c>
      <c r="L296" s="319">
        <v>-0.85009966403420956</v>
      </c>
      <c r="M296" s="319">
        <v>-2.0483693029830219</v>
      </c>
      <c r="N296" s="319">
        <v>-2.391855630266615</v>
      </c>
      <c r="O296" s="318">
        <v>-1.4546952868758734</v>
      </c>
      <c r="P296" s="321">
        <v>0</v>
      </c>
      <c r="Q296" s="319">
        <v>0</v>
      </c>
      <c r="R296" s="322">
        <v>0</v>
      </c>
      <c r="S296" s="605"/>
      <c r="T296" s="15"/>
      <c r="U296" s="15"/>
      <c r="V296" s="15"/>
    </row>
    <row r="297" spans="1:22">
      <c r="A297" s="253"/>
      <c r="B297" s="234" t="s">
        <v>94</v>
      </c>
      <c r="C297" s="249">
        <v>6.4582799555897172E-2</v>
      </c>
      <c r="D297" s="250">
        <v>6.2641785963936672E-2</v>
      </c>
      <c r="E297" s="250">
        <v>0</v>
      </c>
      <c r="F297" s="250">
        <v>2.058645786804698E-2</v>
      </c>
      <c r="G297" s="250">
        <v>0</v>
      </c>
      <c r="H297" s="250">
        <v>0</v>
      </c>
      <c r="I297" s="250">
        <v>0</v>
      </c>
      <c r="J297" s="251">
        <v>5.5232949673175546E-2</v>
      </c>
      <c r="K297" s="249">
        <v>0</v>
      </c>
      <c r="L297" s="250">
        <v>0</v>
      </c>
      <c r="M297" s="250">
        <v>0</v>
      </c>
      <c r="N297" s="250">
        <v>0</v>
      </c>
      <c r="O297" s="249">
        <v>0</v>
      </c>
      <c r="P297" s="249">
        <v>0</v>
      </c>
      <c r="Q297" s="250">
        <v>0</v>
      </c>
      <c r="R297" s="252">
        <v>0</v>
      </c>
      <c r="S297" s="15"/>
      <c r="T297" s="15"/>
      <c r="U297" s="15"/>
      <c r="V297" s="15"/>
    </row>
    <row r="298" spans="1:22">
      <c r="A298" s="253"/>
      <c r="B298" s="254" t="s">
        <v>95</v>
      </c>
      <c r="C298" s="255">
        <v>6.386249672602215E-2</v>
      </c>
      <c r="D298" s="256">
        <v>5.4787027963262611E-2</v>
      </c>
      <c r="E298" s="256">
        <v>0</v>
      </c>
      <c r="F298" s="256">
        <v>1.2961572647802486E-2</v>
      </c>
      <c r="G298" s="256">
        <v>0</v>
      </c>
      <c r="H298" s="256">
        <v>0</v>
      </c>
      <c r="I298" s="256">
        <v>0</v>
      </c>
      <c r="J298" s="257">
        <v>5.1133352699360042E-2</v>
      </c>
      <c r="K298" s="255">
        <v>0</v>
      </c>
      <c r="L298" s="256">
        <v>0</v>
      </c>
      <c r="M298" s="256">
        <v>0</v>
      </c>
      <c r="N298" s="256">
        <v>0</v>
      </c>
      <c r="O298" s="255">
        <v>0</v>
      </c>
      <c r="P298" s="255">
        <v>0</v>
      </c>
      <c r="Q298" s="256">
        <v>0</v>
      </c>
      <c r="R298" s="258">
        <v>0</v>
      </c>
      <c r="S298" s="15"/>
      <c r="T298" s="15"/>
      <c r="U298" s="15"/>
      <c r="V298" s="15"/>
    </row>
    <row r="299" spans="1:22">
      <c r="A299" s="253"/>
      <c r="B299" s="317" t="s">
        <v>96</v>
      </c>
      <c r="C299" s="318">
        <v>-7.2030282987502192E-2</v>
      </c>
      <c r="D299" s="319">
        <v>-0.78547580006740614</v>
      </c>
      <c r="E299" s="319">
        <v>0</v>
      </c>
      <c r="F299" s="319">
        <v>-0.76248852202444939</v>
      </c>
      <c r="G299" s="319">
        <v>0</v>
      </c>
      <c r="H299" s="319">
        <v>0</v>
      </c>
      <c r="I299" s="319">
        <v>0</v>
      </c>
      <c r="J299" s="320">
        <v>-0.40995969738155047</v>
      </c>
      <c r="K299" s="318">
        <v>0</v>
      </c>
      <c r="L299" s="319">
        <v>0</v>
      </c>
      <c r="M299" s="319">
        <v>0</v>
      </c>
      <c r="N299" s="319">
        <v>0</v>
      </c>
      <c r="O299" s="318">
        <v>0</v>
      </c>
      <c r="P299" s="321">
        <v>0</v>
      </c>
      <c r="Q299" s="319">
        <v>0</v>
      </c>
      <c r="R299" s="322">
        <v>0</v>
      </c>
      <c r="S299" s="15"/>
      <c r="T299" s="15"/>
      <c r="U299" s="15"/>
      <c r="V299" s="15"/>
    </row>
    <row r="300" spans="1:22">
      <c r="A300" s="253"/>
      <c r="B300" s="234" t="s">
        <v>97</v>
      </c>
      <c r="C300" s="249">
        <v>6.9721515993614383E-2</v>
      </c>
      <c r="D300" s="250">
        <v>2.1578751789783874E-2</v>
      </c>
      <c r="E300" s="250">
        <v>0</v>
      </c>
      <c r="F300" s="250">
        <v>0.12755852754933131</v>
      </c>
      <c r="G300" s="250">
        <v>0.30415397308961667</v>
      </c>
      <c r="H300" s="250">
        <v>0</v>
      </c>
      <c r="I300" s="250">
        <v>0</v>
      </c>
      <c r="J300" s="251">
        <v>6.9839648155562609E-2</v>
      </c>
      <c r="K300" s="249">
        <v>0</v>
      </c>
      <c r="L300" s="250">
        <v>0.20581441116452542</v>
      </c>
      <c r="M300" s="250">
        <v>0.16412589213834713</v>
      </c>
      <c r="N300" s="250">
        <v>9.7472834006411588E-2</v>
      </c>
      <c r="O300" s="249">
        <v>0.1801841955595134</v>
      </c>
      <c r="P300" s="249">
        <v>0</v>
      </c>
      <c r="Q300" s="250">
        <v>0</v>
      </c>
      <c r="R300" s="252">
        <v>0</v>
      </c>
      <c r="S300" s="15"/>
      <c r="T300" s="15"/>
      <c r="U300" s="15"/>
      <c r="V300" s="15"/>
    </row>
    <row r="301" spans="1:22">
      <c r="A301" s="253"/>
      <c r="B301" s="254" t="s">
        <v>98</v>
      </c>
      <c r="C301" s="255">
        <v>7.4291144253678554E-2</v>
      </c>
      <c r="D301" s="256">
        <v>2.9648090690958577E-2</v>
      </c>
      <c r="E301" s="256">
        <v>0</v>
      </c>
      <c r="F301" s="256">
        <v>0.16983370871842665</v>
      </c>
      <c r="G301" s="256">
        <v>0.40920383295871288</v>
      </c>
      <c r="H301" s="256">
        <v>0</v>
      </c>
      <c r="I301" s="256">
        <v>0</v>
      </c>
      <c r="J301" s="257">
        <v>8.4482824388282973E-2</v>
      </c>
      <c r="K301" s="255">
        <v>0</v>
      </c>
      <c r="L301" s="256">
        <v>0.21431540780486746</v>
      </c>
      <c r="M301" s="256">
        <v>0.18460958516817738</v>
      </c>
      <c r="N301" s="256">
        <v>0.12139139030907771</v>
      </c>
      <c r="O301" s="255">
        <v>0.19473114842827208</v>
      </c>
      <c r="P301" s="255">
        <v>0</v>
      </c>
      <c r="Q301" s="256">
        <v>0</v>
      </c>
      <c r="R301" s="258">
        <v>0</v>
      </c>
      <c r="S301" s="15"/>
      <c r="T301" s="15"/>
      <c r="U301" s="15"/>
      <c r="V301" s="15"/>
    </row>
    <row r="302" spans="1:22">
      <c r="A302" s="253"/>
      <c r="B302" s="317" t="s">
        <v>99</v>
      </c>
      <c r="C302" s="318">
        <v>0.45696282600641708</v>
      </c>
      <c r="D302" s="319">
        <v>0.8069338901174703</v>
      </c>
      <c r="E302" s="319">
        <v>0</v>
      </c>
      <c r="F302" s="319">
        <v>4.2275181169095344</v>
      </c>
      <c r="G302" s="331">
        <v>10.50498598690962</v>
      </c>
      <c r="H302" s="319">
        <v>0</v>
      </c>
      <c r="I302" s="319">
        <v>0</v>
      </c>
      <c r="J302" s="320">
        <v>1.4643176232720365</v>
      </c>
      <c r="K302" s="318">
        <v>0</v>
      </c>
      <c r="L302" s="319">
        <v>0.85009966403420401</v>
      </c>
      <c r="M302" s="319">
        <v>2.0483693029830246</v>
      </c>
      <c r="N302" s="319">
        <v>2.3918556302666123</v>
      </c>
      <c r="O302" s="318">
        <v>1.4546952868758678</v>
      </c>
      <c r="P302" s="321">
        <v>0</v>
      </c>
      <c r="Q302" s="319">
        <v>0</v>
      </c>
      <c r="R302" s="322">
        <v>0</v>
      </c>
      <c r="S302" s="15"/>
      <c r="T302" s="15"/>
      <c r="U302" s="15"/>
      <c r="V302" s="15"/>
    </row>
    <row r="303" spans="1:22">
      <c r="A303" s="253"/>
      <c r="B303" s="234" t="s">
        <v>100</v>
      </c>
      <c r="C303" s="249">
        <v>6.2542291596865004E-4</v>
      </c>
      <c r="D303" s="250">
        <v>1.4320003395500443E-2</v>
      </c>
      <c r="E303" s="250">
        <v>0</v>
      </c>
      <c r="F303" s="250">
        <v>0</v>
      </c>
      <c r="G303" s="250">
        <v>0</v>
      </c>
      <c r="H303" s="250">
        <v>0</v>
      </c>
      <c r="I303" s="250">
        <v>0</v>
      </c>
      <c r="J303" s="251">
        <v>5.3641856847666518E-3</v>
      </c>
      <c r="K303" s="249">
        <v>0</v>
      </c>
      <c r="L303" s="250">
        <v>0</v>
      </c>
      <c r="M303" s="250">
        <v>0</v>
      </c>
      <c r="N303" s="250">
        <v>0</v>
      </c>
      <c r="O303" s="249">
        <v>0</v>
      </c>
      <c r="P303" s="249">
        <v>0</v>
      </c>
      <c r="Q303" s="250">
        <v>0</v>
      </c>
      <c r="R303" s="252">
        <v>0</v>
      </c>
      <c r="S303" s="15"/>
      <c r="T303" s="15"/>
      <c r="U303" s="15"/>
      <c r="V303" s="15"/>
    </row>
    <row r="304" spans="1:22">
      <c r="A304" s="253"/>
      <c r="B304" s="254" t="s">
        <v>101</v>
      </c>
      <c r="C304" s="255">
        <v>7.6171388153957302E-4</v>
      </c>
      <c r="D304" s="256">
        <v>1.3486763925470368E-2</v>
      </c>
      <c r="E304" s="256">
        <v>0</v>
      </c>
      <c r="F304" s="256">
        <v>0</v>
      </c>
      <c r="G304" s="256">
        <v>0</v>
      </c>
      <c r="H304" s="256">
        <v>0</v>
      </c>
      <c r="I304" s="256">
        <v>0</v>
      </c>
      <c r="J304" s="257">
        <v>5.215329677262231E-3</v>
      </c>
      <c r="K304" s="255">
        <v>0</v>
      </c>
      <c r="L304" s="256">
        <v>0</v>
      </c>
      <c r="M304" s="256">
        <v>0</v>
      </c>
      <c r="N304" s="256">
        <v>0</v>
      </c>
      <c r="O304" s="255">
        <v>0</v>
      </c>
      <c r="P304" s="255">
        <v>0</v>
      </c>
      <c r="Q304" s="256">
        <v>0</v>
      </c>
      <c r="R304" s="258">
        <v>0</v>
      </c>
      <c r="S304" s="15"/>
      <c r="T304" s="15"/>
      <c r="U304" s="15"/>
      <c r="V304" s="15"/>
    </row>
    <row r="305" spans="1:22">
      <c r="A305" s="253"/>
      <c r="B305" s="317" t="s">
        <v>102</v>
      </c>
      <c r="C305" s="318">
        <v>1.3629096557092298E-2</v>
      </c>
      <c r="D305" s="319">
        <v>-8.332394700300752E-2</v>
      </c>
      <c r="E305" s="319">
        <v>0</v>
      </c>
      <c r="F305" s="319">
        <v>0</v>
      </c>
      <c r="G305" s="319">
        <v>0</v>
      </c>
      <c r="H305" s="319">
        <v>0</v>
      </c>
      <c r="I305" s="319">
        <v>0</v>
      </c>
      <c r="J305" s="320">
        <v>-1.4885600750442086E-2</v>
      </c>
      <c r="K305" s="318">
        <v>0</v>
      </c>
      <c r="L305" s="319">
        <v>0</v>
      </c>
      <c r="M305" s="319">
        <v>0</v>
      </c>
      <c r="N305" s="319">
        <v>0</v>
      </c>
      <c r="O305" s="318">
        <v>0</v>
      </c>
      <c r="P305" s="321">
        <v>0</v>
      </c>
      <c r="Q305" s="319">
        <v>0</v>
      </c>
      <c r="R305" s="322">
        <v>0</v>
      </c>
      <c r="S305" s="15"/>
      <c r="T305" s="15"/>
      <c r="U305" s="15"/>
      <c r="V305" s="15"/>
    </row>
    <row r="306" spans="1:22">
      <c r="A306" s="253"/>
      <c r="B306" s="234" t="s">
        <v>103</v>
      </c>
      <c r="C306" s="249">
        <v>3.4687321389857899E-3</v>
      </c>
      <c r="D306" s="250">
        <v>0</v>
      </c>
      <c r="E306" s="250">
        <v>0</v>
      </c>
      <c r="F306" s="250">
        <v>2.469849444283875E-3</v>
      </c>
      <c r="G306" s="250">
        <v>0</v>
      </c>
      <c r="H306" s="250">
        <v>0</v>
      </c>
      <c r="I306" s="250">
        <v>0</v>
      </c>
      <c r="J306" s="251">
        <v>1.9660090292830416E-3</v>
      </c>
      <c r="K306" s="249">
        <v>0</v>
      </c>
      <c r="L306" s="250">
        <v>0</v>
      </c>
      <c r="M306" s="250">
        <v>0</v>
      </c>
      <c r="N306" s="250">
        <v>0</v>
      </c>
      <c r="O306" s="249">
        <v>0</v>
      </c>
      <c r="P306" s="249">
        <v>0</v>
      </c>
      <c r="Q306" s="250">
        <v>0</v>
      </c>
      <c r="R306" s="252">
        <v>0</v>
      </c>
      <c r="S306" s="15"/>
      <c r="T306" s="15"/>
      <c r="U306" s="15"/>
      <c r="V306" s="15"/>
    </row>
    <row r="307" spans="1:22">
      <c r="A307" s="253"/>
      <c r="B307" s="254" t="s">
        <v>104</v>
      </c>
      <c r="C307" s="255">
        <v>0</v>
      </c>
      <c r="D307" s="256">
        <v>0</v>
      </c>
      <c r="E307" s="256">
        <v>0</v>
      </c>
      <c r="F307" s="256">
        <v>1.7474823310119863E-3</v>
      </c>
      <c r="G307" s="256">
        <v>0</v>
      </c>
      <c r="H307" s="256">
        <v>0</v>
      </c>
      <c r="I307" s="256">
        <v>0</v>
      </c>
      <c r="J307" s="257">
        <v>2.3767396413763964E-4</v>
      </c>
      <c r="K307" s="255">
        <v>0</v>
      </c>
      <c r="L307" s="256">
        <v>0</v>
      </c>
      <c r="M307" s="256">
        <v>0</v>
      </c>
      <c r="N307" s="256">
        <v>0</v>
      </c>
      <c r="O307" s="255">
        <v>0</v>
      </c>
      <c r="P307" s="255">
        <v>0</v>
      </c>
      <c r="Q307" s="256">
        <v>0</v>
      </c>
      <c r="R307" s="258">
        <v>0</v>
      </c>
      <c r="S307" s="15"/>
      <c r="T307" s="15"/>
      <c r="U307" s="15"/>
      <c r="V307" s="15"/>
    </row>
    <row r="308" spans="1:22">
      <c r="A308" s="253"/>
      <c r="B308" s="317" t="s">
        <v>105</v>
      </c>
      <c r="C308" s="318">
        <v>-0.346873213898579</v>
      </c>
      <c r="D308" s="319">
        <v>0</v>
      </c>
      <c r="E308" s="319">
        <v>0</v>
      </c>
      <c r="F308" s="319">
        <v>-7.2236711327188868E-2</v>
      </c>
      <c r="G308" s="319">
        <v>0</v>
      </c>
      <c r="H308" s="319">
        <v>0</v>
      </c>
      <c r="I308" s="319">
        <v>0</v>
      </c>
      <c r="J308" s="320">
        <v>-0.17283350651454019</v>
      </c>
      <c r="K308" s="318">
        <v>0</v>
      </c>
      <c r="L308" s="319">
        <v>0</v>
      </c>
      <c r="M308" s="319">
        <v>0</v>
      </c>
      <c r="N308" s="319">
        <v>0</v>
      </c>
      <c r="O308" s="318">
        <v>0</v>
      </c>
      <c r="P308" s="321">
        <v>0</v>
      </c>
      <c r="Q308" s="319">
        <v>0</v>
      </c>
      <c r="R308" s="322">
        <v>0</v>
      </c>
      <c r="S308" s="15"/>
      <c r="T308" s="15"/>
      <c r="U308" s="15"/>
      <c r="V308" s="15"/>
    </row>
    <row r="309" spans="1:22">
      <c r="A309" s="253"/>
      <c r="B309" s="234" t="s">
        <v>106</v>
      </c>
      <c r="C309" s="249">
        <v>0</v>
      </c>
      <c r="D309" s="250">
        <v>1.0394389108759091E-5</v>
      </c>
      <c r="E309" s="250">
        <v>0</v>
      </c>
      <c r="F309" s="250">
        <v>4.5630906399712727E-3</v>
      </c>
      <c r="G309" s="250">
        <v>0</v>
      </c>
      <c r="H309" s="250">
        <v>0</v>
      </c>
      <c r="I309" s="250">
        <v>0</v>
      </c>
      <c r="J309" s="251">
        <v>6.4306412693153174E-4</v>
      </c>
      <c r="K309" s="249">
        <v>0</v>
      </c>
      <c r="L309" s="250">
        <v>0</v>
      </c>
      <c r="M309" s="250">
        <v>0</v>
      </c>
      <c r="N309" s="250">
        <v>0</v>
      </c>
      <c r="O309" s="249">
        <v>0</v>
      </c>
      <c r="P309" s="249">
        <v>0</v>
      </c>
      <c r="Q309" s="250">
        <v>0</v>
      </c>
      <c r="R309" s="252">
        <v>0</v>
      </c>
      <c r="S309" s="15"/>
      <c r="T309" s="15"/>
      <c r="U309" s="15"/>
      <c r="V309" s="15"/>
    </row>
    <row r="310" spans="1:22">
      <c r="A310" s="253"/>
      <c r="B310" s="254" t="s">
        <v>107</v>
      </c>
      <c r="C310" s="255">
        <v>2.5306109021248276E-6</v>
      </c>
      <c r="D310" s="256">
        <v>0</v>
      </c>
      <c r="E310" s="256">
        <v>0</v>
      </c>
      <c r="F310" s="256">
        <v>3.5985191705283871E-3</v>
      </c>
      <c r="G310" s="256">
        <v>0</v>
      </c>
      <c r="H310" s="256">
        <v>0</v>
      </c>
      <c r="I310" s="256">
        <v>0</v>
      </c>
      <c r="J310" s="257">
        <v>4.9060600992362159E-4</v>
      </c>
      <c r="K310" s="255">
        <v>0</v>
      </c>
      <c r="L310" s="256">
        <v>0</v>
      </c>
      <c r="M310" s="256">
        <v>0</v>
      </c>
      <c r="N310" s="256">
        <v>0</v>
      </c>
      <c r="O310" s="255">
        <v>0</v>
      </c>
      <c r="P310" s="255">
        <v>0</v>
      </c>
      <c r="Q310" s="256">
        <v>0</v>
      </c>
      <c r="R310" s="258">
        <v>0</v>
      </c>
      <c r="S310" s="15"/>
      <c r="T310" s="15"/>
      <c r="U310" s="15"/>
      <c r="V310" s="15"/>
    </row>
    <row r="311" spans="1:22">
      <c r="A311" s="253"/>
      <c r="B311" s="317" t="s">
        <v>108</v>
      </c>
      <c r="C311" s="318">
        <v>0</v>
      </c>
      <c r="D311" s="319">
        <v>-1.0394389108759092E-3</v>
      </c>
      <c r="E311" s="319">
        <v>0</v>
      </c>
      <c r="F311" s="319">
        <v>-9.6457146944288558E-2</v>
      </c>
      <c r="G311" s="319">
        <v>0</v>
      </c>
      <c r="H311" s="319">
        <v>0</v>
      </c>
      <c r="I311" s="319">
        <v>0</v>
      </c>
      <c r="J311" s="320">
        <v>-1.5245811700791015E-2</v>
      </c>
      <c r="K311" s="318">
        <v>0</v>
      </c>
      <c r="L311" s="319">
        <v>0</v>
      </c>
      <c r="M311" s="319">
        <v>0</v>
      </c>
      <c r="N311" s="319">
        <v>0</v>
      </c>
      <c r="O311" s="318">
        <v>0</v>
      </c>
      <c r="P311" s="321">
        <v>0</v>
      </c>
      <c r="Q311" s="319">
        <v>0</v>
      </c>
      <c r="R311" s="322">
        <v>0</v>
      </c>
      <c r="S311" s="15"/>
      <c r="T311" s="15"/>
      <c r="U311" s="15"/>
      <c r="V311" s="15"/>
    </row>
    <row r="312" spans="1:22">
      <c r="A312" s="253"/>
      <c r="B312" s="234" t="s">
        <v>109</v>
      </c>
      <c r="C312" s="249">
        <v>0.68800612384674265</v>
      </c>
      <c r="D312" s="250">
        <v>0.82114228742344397</v>
      </c>
      <c r="E312" s="250">
        <v>0</v>
      </c>
      <c r="F312" s="250">
        <v>0.5871051944661968</v>
      </c>
      <c r="G312" s="250">
        <v>0.66340813152632749</v>
      </c>
      <c r="H312" s="250">
        <v>0</v>
      </c>
      <c r="I312" s="250">
        <v>0</v>
      </c>
      <c r="J312" s="251">
        <v>0.71827225305630427</v>
      </c>
      <c r="K312" s="249">
        <v>0</v>
      </c>
      <c r="L312" s="250">
        <v>0</v>
      </c>
      <c r="M312" s="250">
        <v>0</v>
      </c>
      <c r="N312" s="250">
        <v>0</v>
      </c>
      <c r="O312" s="249">
        <v>0</v>
      </c>
      <c r="P312" s="249">
        <v>0</v>
      </c>
      <c r="Q312" s="250">
        <v>0</v>
      </c>
      <c r="R312" s="252">
        <v>0</v>
      </c>
      <c r="S312" s="15"/>
      <c r="T312" s="15"/>
      <c r="U312" s="15"/>
      <c r="V312" s="15"/>
    </row>
    <row r="313" spans="1:22">
      <c r="A313" s="253"/>
      <c r="B313" s="254" t="s">
        <v>110</v>
      </c>
      <c r="C313" s="255">
        <v>0.67382026483188373</v>
      </c>
      <c r="D313" s="256">
        <v>0.85763171487603307</v>
      </c>
      <c r="E313" s="256">
        <v>0</v>
      </c>
      <c r="F313" s="256">
        <v>0.5996273587971489</v>
      </c>
      <c r="G313" s="256">
        <v>0.64389671361502343</v>
      </c>
      <c r="H313" s="256">
        <v>0</v>
      </c>
      <c r="I313" s="256">
        <v>0</v>
      </c>
      <c r="J313" s="257">
        <v>0.72456891216198471</v>
      </c>
      <c r="K313" s="255">
        <v>0</v>
      </c>
      <c r="L313" s="256">
        <v>0</v>
      </c>
      <c r="M313" s="256">
        <v>0</v>
      </c>
      <c r="N313" s="256">
        <v>0</v>
      </c>
      <c r="O313" s="255">
        <v>0</v>
      </c>
      <c r="P313" s="255">
        <v>0</v>
      </c>
      <c r="Q313" s="256">
        <v>0</v>
      </c>
      <c r="R313" s="258">
        <v>0</v>
      </c>
      <c r="S313" s="15"/>
      <c r="T313" s="15"/>
      <c r="U313" s="15"/>
      <c r="V313" s="15"/>
    </row>
    <row r="314" spans="1:22">
      <c r="A314" s="253"/>
      <c r="B314" s="317" t="s">
        <v>111</v>
      </c>
      <c r="C314" s="318">
        <v>-1.4185859014858915</v>
      </c>
      <c r="D314" s="319">
        <v>3.6489427452589096</v>
      </c>
      <c r="E314" s="319">
        <v>0</v>
      </c>
      <c r="F314" s="319">
        <v>1.2522164330952101</v>
      </c>
      <c r="G314" s="319">
        <v>-1.9511417911304063</v>
      </c>
      <c r="H314" s="319">
        <v>0</v>
      </c>
      <c r="I314" s="319">
        <v>0</v>
      </c>
      <c r="J314" s="320">
        <v>0.62966591056804466</v>
      </c>
      <c r="K314" s="318">
        <v>0</v>
      </c>
      <c r="L314" s="319">
        <v>0</v>
      </c>
      <c r="M314" s="319">
        <v>0</v>
      </c>
      <c r="N314" s="319">
        <v>0</v>
      </c>
      <c r="O314" s="318">
        <v>0</v>
      </c>
      <c r="P314" s="321">
        <v>0</v>
      </c>
      <c r="Q314" s="319">
        <v>0</v>
      </c>
      <c r="R314" s="322">
        <v>0</v>
      </c>
      <c r="S314" s="15"/>
      <c r="T314" s="15"/>
      <c r="U314" s="15"/>
      <c r="V314" s="15"/>
    </row>
    <row r="315" spans="1:22">
      <c r="A315" s="253"/>
      <c r="B315" s="234" t="s">
        <v>112</v>
      </c>
      <c r="C315" s="249">
        <v>6.9086660489101975E-2</v>
      </c>
      <c r="D315" s="250">
        <v>0.13914826947728243</v>
      </c>
      <c r="E315" s="250">
        <v>0</v>
      </c>
      <c r="F315" s="250">
        <v>1.8245888801879405E-2</v>
      </c>
      <c r="G315" s="250">
        <v>6.131970673183737E-2</v>
      </c>
      <c r="H315" s="250">
        <v>0</v>
      </c>
      <c r="I315" s="250">
        <v>0</v>
      </c>
      <c r="J315" s="251">
        <v>8.5444982595703989E-2</v>
      </c>
      <c r="K315" s="249">
        <v>0</v>
      </c>
      <c r="L315" s="250">
        <v>0</v>
      </c>
      <c r="M315" s="250">
        <v>0</v>
      </c>
      <c r="N315" s="250">
        <v>0</v>
      </c>
      <c r="O315" s="249">
        <v>0</v>
      </c>
      <c r="P315" s="249">
        <v>0</v>
      </c>
      <c r="Q315" s="250">
        <v>0</v>
      </c>
      <c r="R315" s="252">
        <v>0</v>
      </c>
      <c r="S315" s="15"/>
      <c r="T315" s="15"/>
      <c r="U315" s="15"/>
      <c r="V315" s="15"/>
    </row>
    <row r="316" spans="1:22">
      <c r="A316" s="253"/>
      <c r="B316" s="254" t="s">
        <v>113</v>
      </c>
      <c r="C316" s="255">
        <v>6.3368168246137863E-2</v>
      </c>
      <c r="D316" s="256">
        <v>8.1428632920110197E-2</v>
      </c>
      <c r="E316" s="256">
        <v>0</v>
      </c>
      <c r="F316" s="256">
        <v>1.0009316030071278E-2</v>
      </c>
      <c r="G316" s="256">
        <v>7.6995305164319253E-2</v>
      </c>
      <c r="H316" s="256">
        <v>0</v>
      </c>
      <c r="I316" s="256">
        <v>0</v>
      </c>
      <c r="J316" s="257">
        <v>6.0643002629476396E-2</v>
      </c>
      <c r="K316" s="255">
        <v>0</v>
      </c>
      <c r="L316" s="256">
        <v>0</v>
      </c>
      <c r="M316" s="256">
        <v>0</v>
      </c>
      <c r="N316" s="256">
        <v>0</v>
      </c>
      <c r="O316" s="255">
        <v>0</v>
      </c>
      <c r="P316" s="255">
        <v>0</v>
      </c>
      <c r="Q316" s="256">
        <v>0</v>
      </c>
      <c r="R316" s="258">
        <v>0</v>
      </c>
      <c r="S316" s="15"/>
      <c r="T316" s="15"/>
      <c r="U316" s="15"/>
      <c r="V316" s="15"/>
    </row>
    <row r="317" spans="1:22">
      <c r="A317" s="253"/>
      <c r="B317" s="317" t="s">
        <v>114</v>
      </c>
      <c r="C317" s="318">
        <v>-0.57184922429641127</v>
      </c>
      <c r="D317" s="331">
        <v>-5.7719636557172231</v>
      </c>
      <c r="E317" s="319">
        <v>0</v>
      </c>
      <c r="F317" s="319">
        <v>-0.82365727718081272</v>
      </c>
      <c r="G317" s="319">
        <v>1.5675598432481883</v>
      </c>
      <c r="H317" s="319">
        <v>0</v>
      </c>
      <c r="I317" s="319">
        <v>0</v>
      </c>
      <c r="J317" s="320">
        <v>-2.4801979966227594</v>
      </c>
      <c r="K317" s="318">
        <v>0</v>
      </c>
      <c r="L317" s="319">
        <v>0</v>
      </c>
      <c r="M317" s="319">
        <v>0</v>
      </c>
      <c r="N317" s="319">
        <v>0</v>
      </c>
      <c r="O317" s="318">
        <v>0</v>
      </c>
      <c r="P317" s="321">
        <v>0</v>
      </c>
      <c r="Q317" s="319">
        <v>0</v>
      </c>
      <c r="R317" s="322">
        <v>0</v>
      </c>
      <c r="S317" s="15"/>
      <c r="T317" s="15"/>
      <c r="U317" s="15"/>
      <c r="V317" s="15"/>
    </row>
    <row r="318" spans="1:22">
      <c r="A318" s="253"/>
      <c r="B318" s="234" t="s">
        <v>115</v>
      </c>
      <c r="C318" s="249">
        <v>0.23811288828008542</v>
      </c>
      <c r="D318" s="250">
        <v>2.7779518587095854E-2</v>
      </c>
      <c r="E318" s="250">
        <v>0</v>
      </c>
      <c r="F318" s="250">
        <v>0.38901070216653616</v>
      </c>
      <c r="G318" s="250">
        <v>0.27527216174183516</v>
      </c>
      <c r="H318" s="250">
        <v>0</v>
      </c>
      <c r="I318" s="250">
        <v>0</v>
      </c>
      <c r="J318" s="251">
        <v>0.18898729182086435</v>
      </c>
      <c r="K318" s="249">
        <v>0</v>
      </c>
      <c r="L318" s="250">
        <v>0</v>
      </c>
      <c r="M318" s="250">
        <v>0</v>
      </c>
      <c r="N318" s="250">
        <v>0</v>
      </c>
      <c r="O318" s="249">
        <v>0</v>
      </c>
      <c r="P318" s="249">
        <v>0</v>
      </c>
      <c r="Q318" s="250">
        <v>0</v>
      </c>
      <c r="R318" s="252">
        <v>0</v>
      </c>
      <c r="S318" s="15"/>
      <c r="T318" s="15"/>
      <c r="U318" s="15"/>
      <c r="V318" s="15"/>
    </row>
    <row r="319" spans="1:22">
      <c r="A319" s="253"/>
      <c r="B319" s="254" t="s">
        <v>116</v>
      </c>
      <c r="C319" s="255">
        <v>0.25766746722056344</v>
      </c>
      <c r="D319" s="256">
        <v>4.2957988980716254E-2</v>
      </c>
      <c r="E319" s="256">
        <v>0</v>
      </c>
      <c r="F319" s="256">
        <v>0.38572697532335293</v>
      </c>
      <c r="G319" s="256">
        <v>0.27910798122065728</v>
      </c>
      <c r="H319" s="256">
        <v>0</v>
      </c>
      <c r="I319" s="256">
        <v>0</v>
      </c>
      <c r="J319" s="257">
        <v>0.20533922496089546</v>
      </c>
      <c r="K319" s="255">
        <v>0</v>
      </c>
      <c r="L319" s="256">
        <v>0</v>
      </c>
      <c r="M319" s="256">
        <v>0</v>
      </c>
      <c r="N319" s="256">
        <v>0</v>
      </c>
      <c r="O319" s="255">
        <v>0</v>
      </c>
      <c r="P319" s="255">
        <v>0</v>
      </c>
      <c r="Q319" s="256">
        <v>0</v>
      </c>
      <c r="R319" s="258">
        <v>0</v>
      </c>
      <c r="S319" s="15"/>
      <c r="T319" s="15"/>
      <c r="U319" s="15"/>
      <c r="V319" s="15"/>
    </row>
    <row r="320" spans="1:22">
      <c r="A320" s="253"/>
      <c r="B320" s="317" t="s">
        <v>117</v>
      </c>
      <c r="C320" s="318">
        <v>1.9554578940478018</v>
      </c>
      <c r="D320" s="319">
        <v>1.51784703936204</v>
      </c>
      <c r="E320" s="319">
        <v>0</v>
      </c>
      <c r="F320" s="319">
        <v>-0.32837268431832323</v>
      </c>
      <c r="G320" s="319">
        <v>0.38358194788221112</v>
      </c>
      <c r="H320" s="319">
        <v>0</v>
      </c>
      <c r="I320" s="319">
        <v>0</v>
      </c>
      <c r="J320" s="320">
        <v>1.6351933140031112</v>
      </c>
      <c r="K320" s="318">
        <v>0</v>
      </c>
      <c r="L320" s="319">
        <v>0</v>
      </c>
      <c r="M320" s="319">
        <v>0</v>
      </c>
      <c r="N320" s="319">
        <v>0</v>
      </c>
      <c r="O320" s="318">
        <v>0</v>
      </c>
      <c r="P320" s="321">
        <v>0</v>
      </c>
      <c r="Q320" s="319">
        <v>0</v>
      </c>
      <c r="R320" s="322">
        <v>0</v>
      </c>
      <c r="S320" s="15"/>
      <c r="T320" s="15"/>
      <c r="U320" s="15"/>
      <c r="V320" s="15"/>
    </row>
    <row r="321" spans="1:22">
      <c r="A321" s="253"/>
      <c r="B321" s="234" t="s">
        <v>118</v>
      </c>
      <c r="C321" s="249">
        <v>4.7459812255751174E-3</v>
      </c>
      <c r="D321" s="250">
        <v>1.1895741347386413E-2</v>
      </c>
      <c r="E321" s="250">
        <v>0</v>
      </c>
      <c r="F321" s="250">
        <v>0</v>
      </c>
      <c r="G321" s="250">
        <v>0</v>
      </c>
      <c r="H321" s="250">
        <v>0</v>
      </c>
      <c r="I321" s="250">
        <v>0</v>
      </c>
      <c r="J321" s="251">
        <v>6.4120057248648783E-3</v>
      </c>
      <c r="K321" s="249">
        <v>0</v>
      </c>
      <c r="L321" s="250">
        <v>0</v>
      </c>
      <c r="M321" s="250">
        <v>0</v>
      </c>
      <c r="N321" s="250">
        <v>0</v>
      </c>
      <c r="O321" s="249">
        <v>0</v>
      </c>
      <c r="P321" s="249">
        <v>0</v>
      </c>
      <c r="Q321" s="250">
        <v>0</v>
      </c>
      <c r="R321" s="252">
        <v>0</v>
      </c>
      <c r="S321" s="15"/>
      <c r="T321" s="15"/>
      <c r="U321" s="15"/>
      <c r="V321" s="15"/>
    </row>
    <row r="322" spans="1:22">
      <c r="A322" s="253"/>
      <c r="B322" s="254" t="s">
        <v>119</v>
      </c>
      <c r="C322" s="255">
        <v>4.9250292093989357E-3</v>
      </c>
      <c r="D322" s="256">
        <v>1.7981663223140498E-2</v>
      </c>
      <c r="E322" s="256">
        <v>0</v>
      </c>
      <c r="F322" s="256">
        <v>0</v>
      </c>
      <c r="G322" s="256">
        <v>0</v>
      </c>
      <c r="H322" s="256">
        <v>0</v>
      </c>
      <c r="I322" s="256">
        <v>0</v>
      </c>
      <c r="J322" s="257">
        <v>8.5448605177180191E-3</v>
      </c>
      <c r="K322" s="255">
        <v>0</v>
      </c>
      <c r="L322" s="256">
        <v>0</v>
      </c>
      <c r="M322" s="256">
        <v>0</v>
      </c>
      <c r="N322" s="256">
        <v>0</v>
      </c>
      <c r="O322" s="255">
        <v>0</v>
      </c>
      <c r="P322" s="255">
        <v>0</v>
      </c>
      <c r="Q322" s="256">
        <v>0</v>
      </c>
      <c r="R322" s="258">
        <v>0</v>
      </c>
      <c r="S322" s="15"/>
      <c r="T322" s="15"/>
      <c r="U322" s="15"/>
      <c r="V322" s="15"/>
    </row>
    <row r="323" spans="1:22">
      <c r="A323" s="253"/>
      <c r="B323" s="317" t="s">
        <v>120</v>
      </c>
      <c r="C323" s="318">
        <v>1.7904798382381831E-2</v>
      </c>
      <c r="D323" s="319">
        <v>0.60859218757540845</v>
      </c>
      <c r="E323" s="319">
        <v>0</v>
      </c>
      <c r="F323" s="319">
        <v>0</v>
      </c>
      <c r="G323" s="319">
        <v>0</v>
      </c>
      <c r="H323" s="319">
        <v>0</v>
      </c>
      <c r="I323" s="319">
        <v>0</v>
      </c>
      <c r="J323" s="320">
        <v>0.21328547928531408</v>
      </c>
      <c r="K323" s="318">
        <v>0</v>
      </c>
      <c r="L323" s="319">
        <v>0</v>
      </c>
      <c r="M323" s="319">
        <v>0</v>
      </c>
      <c r="N323" s="319">
        <v>0</v>
      </c>
      <c r="O323" s="318">
        <v>0</v>
      </c>
      <c r="P323" s="321">
        <v>0</v>
      </c>
      <c r="Q323" s="319">
        <v>0</v>
      </c>
      <c r="R323" s="322">
        <v>0</v>
      </c>
      <c r="S323" s="15"/>
      <c r="T323" s="15"/>
      <c r="U323" s="15"/>
      <c r="V323" s="15"/>
    </row>
    <row r="324" spans="1:22">
      <c r="A324" s="253"/>
      <c r="B324" s="234" t="s">
        <v>121</v>
      </c>
      <c r="C324" s="249">
        <v>4.8346158494822932E-5</v>
      </c>
      <c r="D324" s="250">
        <v>0</v>
      </c>
      <c r="E324" s="250">
        <v>0</v>
      </c>
      <c r="F324" s="250">
        <v>5.6382145653876272E-3</v>
      </c>
      <c r="G324" s="250">
        <v>0</v>
      </c>
      <c r="H324" s="250">
        <v>0</v>
      </c>
      <c r="I324" s="250">
        <v>0</v>
      </c>
      <c r="J324" s="251">
        <v>8.7168724489896082E-4</v>
      </c>
      <c r="K324" s="249">
        <v>0</v>
      </c>
      <c r="L324" s="250">
        <v>0</v>
      </c>
      <c r="M324" s="250">
        <v>0</v>
      </c>
      <c r="N324" s="250">
        <v>0</v>
      </c>
      <c r="O324" s="249">
        <v>0</v>
      </c>
      <c r="P324" s="249">
        <v>0</v>
      </c>
      <c r="Q324" s="250">
        <v>0</v>
      </c>
      <c r="R324" s="252">
        <v>0</v>
      </c>
      <c r="S324" s="15"/>
      <c r="T324" s="15"/>
      <c r="U324" s="15"/>
      <c r="V324" s="15"/>
    </row>
    <row r="325" spans="1:22">
      <c r="A325" s="253"/>
      <c r="B325" s="254" t="s">
        <v>122</v>
      </c>
      <c r="C325" s="255">
        <v>2.1907049201609762E-4</v>
      </c>
      <c r="D325" s="256">
        <v>0</v>
      </c>
      <c r="E325" s="256">
        <v>0</v>
      </c>
      <c r="F325" s="256">
        <v>4.6363498494269555E-3</v>
      </c>
      <c r="G325" s="256">
        <v>0</v>
      </c>
      <c r="H325" s="256">
        <v>0</v>
      </c>
      <c r="I325" s="256">
        <v>0</v>
      </c>
      <c r="J325" s="257">
        <v>9.0399972992539189E-4</v>
      </c>
      <c r="K325" s="255">
        <v>0</v>
      </c>
      <c r="L325" s="256">
        <v>0</v>
      </c>
      <c r="M325" s="256">
        <v>0</v>
      </c>
      <c r="N325" s="256">
        <v>0</v>
      </c>
      <c r="O325" s="255">
        <v>0</v>
      </c>
      <c r="P325" s="255">
        <v>0</v>
      </c>
      <c r="Q325" s="256">
        <v>0</v>
      </c>
      <c r="R325" s="258">
        <v>0</v>
      </c>
      <c r="S325" s="15"/>
      <c r="T325" s="15"/>
      <c r="U325" s="15"/>
      <c r="V325" s="15"/>
    </row>
    <row r="326" spans="1:22">
      <c r="A326" s="253"/>
      <c r="B326" s="317" t="s">
        <v>123</v>
      </c>
      <c r="C326" s="318">
        <v>1.7072433352127471E-2</v>
      </c>
      <c r="D326" s="319">
        <v>0</v>
      </c>
      <c r="E326" s="319">
        <v>0</v>
      </c>
      <c r="F326" s="319">
        <v>-0.10018647159606717</v>
      </c>
      <c r="G326" s="319">
        <v>0</v>
      </c>
      <c r="H326" s="319">
        <v>0</v>
      </c>
      <c r="I326" s="319">
        <v>0</v>
      </c>
      <c r="J326" s="320">
        <v>3.2312485026431072E-3</v>
      </c>
      <c r="K326" s="318">
        <v>0</v>
      </c>
      <c r="L326" s="319">
        <v>0</v>
      </c>
      <c r="M326" s="319">
        <v>0</v>
      </c>
      <c r="N326" s="319">
        <v>0</v>
      </c>
      <c r="O326" s="318">
        <v>0</v>
      </c>
      <c r="P326" s="321">
        <v>0</v>
      </c>
      <c r="Q326" s="319">
        <v>0</v>
      </c>
      <c r="R326" s="322">
        <v>0</v>
      </c>
      <c r="S326" s="15"/>
      <c r="T326" s="15"/>
      <c r="U326" s="15"/>
      <c r="V326" s="15"/>
    </row>
    <row r="327" spans="1:22">
      <c r="A327" s="253"/>
      <c r="B327" s="234" t="s">
        <v>124</v>
      </c>
      <c r="C327" s="249">
        <v>0</v>
      </c>
      <c r="D327" s="250">
        <v>3.4183164791340263E-5</v>
      </c>
      <c r="E327" s="250">
        <v>0</v>
      </c>
      <c r="F327" s="250">
        <v>0</v>
      </c>
      <c r="G327" s="250">
        <v>0</v>
      </c>
      <c r="H327" s="250">
        <v>0</v>
      </c>
      <c r="I327" s="250">
        <v>0</v>
      </c>
      <c r="J327" s="251">
        <v>1.177955736349947E-5</v>
      </c>
      <c r="K327" s="249">
        <v>0</v>
      </c>
      <c r="L327" s="250">
        <v>0</v>
      </c>
      <c r="M327" s="250">
        <v>0</v>
      </c>
      <c r="N327" s="250">
        <v>0</v>
      </c>
      <c r="O327" s="249">
        <v>0</v>
      </c>
      <c r="P327" s="249">
        <v>0</v>
      </c>
      <c r="Q327" s="250">
        <v>0</v>
      </c>
      <c r="R327" s="252">
        <v>0</v>
      </c>
      <c r="S327" s="15"/>
      <c r="T327" s="15"/>
      <c r="U327" s="15"/>
      <c r="V327" s="15"/>
    </row>
    <row r="328" spans="1:22">
      <c r="A328" s="253"/>
      <c r="B328" s="254" t="s">
        <v>125</v>
      </c>
      <c r="C328" s="255">
        <v>0</v>
      </c>
      <c r="D328" s="256">
        <v>0</v>
      </c>
      <c r="E328" s="256">
        <v>0</v>
      </c>
      <c r="F328" s="256">
        <v>0</v>
      </c>
      <c r="G328" s="256">
        <v>0</v>
      </c>
      <c r="H328" s="256">
        <v>0</v>
      </c>
      <c r="I328" s="256">
        <v>0</v>
      </c>
      <c r="J328" s="257">
        <v>0</v>
      </c>
      <c r="K328" s="255">
        <v>0</v>
      </c>
      <c r="L328" s="256">
        <v>0</v>
      </c>
      <c r="M328" s="256">
        <v>0</v>
      </c>
      <c r="N328" s="256">
        <v>0</v>
      </c>
      <c r="O328" s="255">
        <v>0</v>
      </c>
      <c r="P328" s="255">
        <v>0</v>
      </c>
      <c r="Q328" s="256">
        <v>0</v>
      </c>
      <c r="R328" s="258">
        <v>0</v>
      </c>
      <c r="S328" s="15"/>
      <c r="T328" s="15"/>
      <c r="U328" s="15"/>
      <c r="V328" s="15"/>
    </row>
    <row r="329" spans="1:22">
      <c r="A329" s="260"/>
      <c r="B329" s="317" t="s">
        <v>126</v>
      </c>
      <c r="C329" s="318">
        <v>0</v>
      </c>
      <c r="D329" s="319">
        <v>-3.4183164791340261E-3</v>
      </c>
      <c r="E329" s="319">
        <v>0</v>
      </c>
      <c r="F329" s="319">
        <v>0</v>
      </c>
      <c r="G329" s="319">
        <v>0</v>
      </c>
      <c r="H329" s="319">
        <v>0</v>
      </c>
      <c r="I329" s="319">
        <v>0</v>
      </c>
      <c r="J329" s="320">
        <v>-1.177955736349947E-3</v>
      </c>
      <c r="K329" s="318">
        <v>0</v>
      </c>
      <c r="L329" s="319">
        <v>0</v>
      </c>
      <c r="M329" s="319">
        <v>0</v>
      </c>
      <c r="N329" s="319">
        <v>0</v>
      </c>
      <c r="O329" s="318">
        <v>0</v>
      </c>
      <c r="P329" s="321">
        <v>0</v>
      </c>
      <c r="Q329" s="319">
        <v>0</v>
      </c>
      <c r="R329" s="322">
        <v>0</v>
      </c>
      <c r="S329" s="15"/>
      <c r="T329" s="15"/>
      <c r="U329" s="15"/>
      <c r="V329" s="15"/>
    </row>
    <row r="330" spans="1:22">
      <c r="A330" s="248" t="s">
        <v>79</v>
      </c>
      <c r="B330" s="234" t="s">
        <v>91</v>
      </c>
      <c r="C330" s="249">
        <v>0.90716426798525918</v>
      </c>
      <c r="D330" s="250">
        <v>0.96244953822026025</v>
      </c>
      <c r="E330" s="250">
        <v>0.90445878691740433</v>
      </c>
      <c r="F330" s="250">
        <v>0.8247450441555213</v>
      </c>
      <c r="G330" s="250">
        <v>0.79174152977412726</v>
      </c>
      <c r="H330" s="250">
        <v>0.91018981216298955</v>
      </c>
      <c r="I330" s="250">
        <v>0</v>
      </c>
      <c r="J330" s="251">
        <v>0.9019117361234591</v>
      </c>
      <c r="K330" s="249">
        <v>0</v>
      </c>
      <c r="L330" s="250">
        <v>0.75698836358120758</v>
      </c>
      <c r="M330" s="250">
        <v>0.71772880231468739</v>
      </c>
      <c r="N330" s="250">
        <v>0.70231460039536853</v>
      </c>
      <c r="O330" s="249">
        <v>0.73273045001349324</v>
      </c>
      <c r="P330" s="249">
        <v>0</v>
      </c>
      <c r="Q330" s="250">
        <v>0</v>
      </c>
      <c r="R330" s="252">
        <v>0</v>
      </c>
      <c r="S330" s="15"/>
      <c r="T330" s="15"/>
      <c r="U330" s="15"/>
      <c r="V330" s="15"/>
    </row>
    <row r="331" spans="1:22">
      <c r="A331" s="253"/>
      <c r="B331" s="254" t="s">
        <v>92</v>
      </c>
      <c r="C331" s="255">
        <v>0.90154278391167197</v>
      </c>
      <c r="D331" s="256">
        <v>0.95899535350111575</v>
      </c>
      <c r="E331" s="256">
        <v>0.89796646074570918</v>
      </c>
      <c r="F331" s="256">
        <v>0.82071275491636453</v>
      </c>
      <c r="G331" s="256">
        <v>0.7871918666164005</v>
      </c>
      <c r="H331" s="256">
        <v>0.8948952919518719</v>
      </c>
      <c r="I331" s="256">
        <v>0</v>
      </c>
      <c r="J331" s="257">
        <v>0.89636768504783493</v>
      </c>
      <c r="K331" s="255">
        <v>0</v>
      </c>
      <c r="L331" s="256">
        <v>0.66989441246028525</v>
      </c>
      <c r="M331" s="256">
        <v>0.62272945157606396</v>
      </c>
      <c r="N331" s="256">
        <v>0.6083809858948418</v>
      </c>
      <c r="O331" s="255">
        <v>0.64228727468350844</v>
      </c>
      <c r="P331" s="255">
        <v>0</v>
      </c>
      <c r="Q331" s="256">
        <v>0</v>
      </c>
      <c r="R331" s="258">
        <v>0</v>
      </c>
      <c r="S331" s="15"/>
      <c r="T331" s="15"/>
      <c r="U331" s="15"/>
      <c r="V331" s="15"/>
    </row>
    <row r="332" spans="1:22">
      <c r="A332" s="253"/>
      <c r="B332" s="317" t="s">
        <v>93</v>
      </c>
      <c r="C332" s="318">
        <v>-0.56214840735872018</v>
      </c>
      <c r="D332" s="319">
        <v>-0.3454184719144493</v>
      </c>
      <c r="E332" s="319">
        <v>-0.64923261716951508</v>
      </c>
      <c r="F332" s="319">
        <v>-0.40322892391567722</v>
      </c>
      <c r="G332" s="319">
        <v>-0.45496631577267577</v>
      </c>
      <c r="H332" s="319">
        <v>-1.5294520211117657</v>
      </c>
      <c r="I332" s="319">
        <v>0</v>
      </c>
      <c r="J332" s="320">
        <v>-0.55440510756241679</v>
      </c>
      <c r="K332" s="318">
        <v>0</v>
      </c>
      <c r="L332" s="319">
        <v>-8.709395112092233</v>
      </c>
      <c r="M332" s="319">
        <v>-9.4999350738623427</v>
      </c>
      <c r="N332" s="319">
        <v>-9.393361450052673</v>
      </c>
      <c r="O332" s="318">
        <v>-9.0443175329984804</v>
      </c>
      <c r="P332" s="321">
        <v>0</v>
      </c>
      <c r="Q332" s="319">
        <v>0</v>
      </c>
      <c r="R332" s="322">
        <v>0</v>
      </c>
      <c r="S332" s="15"/>
      <c r="T332" s="15"/>
      <c r="U332" s="15"/>
      <c r="V332" s="15"/>
    </row>
    <row r="333" spans="1:22">
      <c r="A333" s="253"/>
      <c r="B333" s="234" t="s">
        <v>94</v>
      </c>
      <c r="C333" s="249">
        <v>2.1400446686569265E-3</v>
      </c>
      <c r="D333" s="250">
        <v>1.0183114544609665E-3</v>
      </c>
      <c r="E333" s="250">
        <v>1.5672474964581087E-2</v>
      </c>
      <c r="F333" s="250">
        <v>2.2854538800930753E-2</v>
      </c>
      <c r="G333" s="250">
        <v>5.706318835168938E-2</v>
      </c>
      <c r="H333" s="250">
        <v>1.5514823520116929E-2</v>
      </c>
      <c r="I333" s="250">
        <v>0</v>
      </c>
      <c r="J333" s="251">
        <v>1.2606789780473573E-2</v>
      </c>
      <c r="K333" s="249">
        <v>0</v>
      </c>
      <c r="L333" s="250">
        <v>3.0396393336674668E-2</v>
      </c>
      <c r="M333" s="250">
        <v>4.8210280211358994E-2</v>
      </c>
      <c r="N333" s="250">
        <v>5.1826037842417398E-2</v>
      </c>
      <c r="O333" s="249">
        <v>4.0853546892245747E-2</v>
      </c>
      <c r="P333" s="249">
        <v>0</v>
      </c>
      <c r="Q333" s="250">
        <v>0</v>
      </c>
      <c r="R333" s="252">
        <v>0</v>
      </c>
      <c r="S333" s="15"/>
      <c r="T333" s="15"/>
      <c r="U333" s="15"/>
      <c r="V333" s="15"/>
    </row>
    <row r="334" spans="1:22">
      <c r="A334" s="253"/>
      <c r="B334" s="254" t="s">
        <v>95</v>
      </c>
      <c r="C334" s="255">
        <v>1.8417711779641457E-3</v>
      </c>
      <c r="D334" s="256">
        <v>4.2369290738073043E-4</v>
      </c>
      <c r="E334" s="256">
        <v>1.5660171549212589E-2</v>
      </c>
      <c r="F334" s="256">
        <v>2.0056341065627908E-2</v>
      </c>
      <c r="G334" s="256">
        <v>5.150251127947561E-2</v>
      </c>
      <c r="H334" s="256">
        <v>1.5998616775663388E-2</v>
      </c>
      <c r="I334" s="256">
        <v>0</v>
      </c>
      <c r="J334" s="257">
        <v>1.1832815741520116E-2</v>
      </c>
      <c r="K334" s="255">
        <v>0</v>
      </c>
      <c r="L334" s="256">
        <v>2.3159981844676429E-2</v>
      </c>
      <c r="M334" s="256">
        <v>3.3919464911673955E-2</v>
      </c>
      <c r="N334" s="256">
        <v>3.2068267792733349E-2</v>
      </c>
      <c r="O334" s="255">
        <v>2.8653530407899579E-2</v>
      </c>
      <c r="P334" s="255">
        <v>0</v>
      </c>
      <c r="Q334" s="256">
        <v>0</v>
      </c>
      <c r="R334" s="258">
        <v>0</v>
      </c>
      <c r="S334" s="15"/>
      <c r="T334" s="15"/>
      <c r="U334" s="15"/>
      <c r="V334" s="15"/>
    </row>
    <row r="335" spans="1:22">
      <c r="A335" s="253"/>
      <c r="B335" s="317" t="s">
        <v>96</v>
      </c>
      <c r="C335" s="318">
        <v>-2.9827349069278083E-2</v>
      </c>
      <c r="D335" s="319">
        <v>-5.9461854708023607E-2</v>
      </c>
      <c r="E335" s="319">
        <v>-1.2303415368498244E-3</v>
      </c>
      <c r="F335" s="319">
        <v>-0.27981977353028453</v>
      </c>
      <c r="G335" s="319">
        <v>-0.55606770722137699</v>
      </c>
      <c r="H335" s="319">
        <v>4.8379325554645872E-2</v>
      </c>
      <c r="I335" s="319">
        <v>0</v>
      </c>
      <c r="J335" s="320">
        <v>-7.739740389534569E-2</v>
      </c>
      <c r="K335" s="318">
        <v>0</v>
      </c>
      <c r="L335" s="319">
        <v>-0.72364114919982392</v>
      </c>
      <c r="M335" s="319">
        <v>-1.4290815299685038</v>
      </c>
      <c r="N335" s="319">
        <v>-1.9757770049684049</v>
      </c>
      <c r="O335" s="318">
        <v>-1.2200016484346168</v>
      </c>
      <c r="P335" s="321">
        <v>0</v>
      </c>
      <c r="Q335" s="319">
        <v>0</v>
      </c>
      <c r="R335" s="322">
        <v>0</v>
      </c>
      <c r="S335" s="15"/>
      <c r="T335" s="15"/>
      <c r="U335" s="15"/>
      <c r="V335" s="15"/>
    </row>
    <row r="336" spans="1:22">
      <c r="A336" s="253"/>
      <c r="B336" s="234" t="s">
        <v>97</v>
      </c>
      <c r="C336" s="249">
        <v>9.0380957059024367E-2</v>
      </c>
      <c r="D336" s="250">
        <v>3.653215032527881E-2</v>
      </c>
      <c r="E336" s="250">
        <v>7.9749585265732656E-2</v>
      </c>
      <c r="F336" s="250">
        <v>0.15136471286827916</v>
      </c>
      <c r="G336" s="250">
        <v>0.14915356076162031</v>
      </c>
      <c r="H336" s="250">
        <v>7.4295364316893486E-2</v>
      </c>
      <c r="I336" s="250">
        <v>0</v>
      </c>
      <c r="J336" s="251">
        <v>8.515552168431216E-2</v>
      </c>
      <c r="K336" s="249">
        <v>0</v>
      </c>
      <c r="L336" s="250">
        <v>0.20796018095966656</v>
      </c>
      <c r="M336" s="250">
        <v>0.22494810465709605</v>
      </c>
      <c r="N336" s="250">
        <v>0.22341372493645864</v>
      </c>
      <c r="O336" s="249">
        <v>0.21712163872297024</v>
      </c>
      <c r="P336" s="249">
        <v>0</v>
      </c>
      <c r="Q336" s="250">
        <v>0</v>
      </c>
      <c r="R336" s="252">
        <v>0</v>
      </c>
      <c r="S336" s="15"/>
      <c r="T336" s="15"/>
      <c r="U336" s="15"/>
      <c r="V336" s="15"/>
    </row>
    <row r="337" spans="1:22">
      <c r="A337" s="253"/>
      <c r="B337" s="254" t="s">
        <v>98</v>
      </c>
      <c r="C337" s="255">
        <v>9.6431508232669078E-2</v>
      </c>
      <c r="D337" s="256">
        <v>4.0559768946134507E-2</v>
      </c>
      <c r="E337" s="256">
        <v>8.6127832450188166E-2</v>
      </c>
      <c r="F337" s="256">
        <v>0.15854348910245178</v>
      </c>
      <c r="G337" s="256">
        <v>0.1597429130841917</v>
      </c>
      <c r="H337" s="256">
        <v>8.6715960984937099E-2</v>
      </c>
      <c r="I337" s="256">
        <v>0</v>
      </c>
      <c r="J337" s="257">
        <v>9.141558607234429E-2</v>
      </c>
      <c r="K337" s="255">
        <v>0</v>
      </c>
      <c r="L337" s="256">
        <v>0.30369277688859159</v>
      </c>
      <c r="M337" s="256">
        <v>0.3355446486572245</v>
      </c>
      <c r="N337" s="256">
        <v>0.34002287322952407</v>
      </c>
      <c r="O337" s="255">
        <v>0.32151866620074959</v>
      </c>
      <c r="P337" s="255">
        <v>0</v>
      </c>
      <c r="Q337" s="256">
        <v>0</v>
      </c>
      <c r="R337" s="258">
        <v>0</v>
      </c>
      <c r="S337" s="15"/>
      <c r="T337" s="15"/>
      <c r="U337" s="15"/>
      <c r="V337" s="15"/>
    </row>
    <row r="338" spans="1:22">
      <c r="A338" s="253"/>
      <c r="B338" s="317" t="s">
        <v>99</v>
      </c>
      <c r="C338" s="318">
        <v>0.60505511736447115</v>
      </c>
      <c r="D338" s="319">
        <v>0.40276186208556969</v>
      </c>
      <c r="E338" s="319">
        <v>0.637824718445551</v>
      </c>
      <c r="F338" s="319">
        <v>0.71787762341726236</v>
      </c>
      <c r="G338" s="319">
        <v>1.0589352322571384</v>
      </c>
      <c r="H338" s="319">
        <v>1.2420596668043613</v>
      </c>
      <c r="I338" s="319">
        <v>0</v>
      </c>
      <c r="J338" s="320">
        <v>0.62600643880321294</v>
      </c>
      <c r="K338" s="318">
        <v>0</v>
      </c>
      <c r="L338" s="319">
        <v>9.5732595928925015</v>
      </c>
      <c r="M338" s="319">
        <v>11.059654400012844</v>
      </c>
      <c r="N338" s="319">
        <v>11.660914829306543</v>
      </c>
      <c r="O338" s="318">
        <v>10.439702747777934</v>
      </c>
      <c r="P338" s="321">
        <v>0</v>
      </c>
      <c r="Q338" s="319">
        <v>0</v>
      </c>
      <c r="R338" s="322">
        <v>0</v>
      </c>
      <c r="S338" s="15"/>
      <c r="T338" s="15"/>
      <c r="U338" s="15"/>
      <c r="V338" s="15"/>
    </row>
    <row r="339" spans="1:22">
      <c r="A339" s="253"/>
      <c r="B339" s="234" t="s">
        <v>100</v>
      </c>
      <c r="C339" s="249">
        <v>4.3662005141201107E-5</v>
      </c>
      <c r="D339" s="250">
        <v>0</v>
      </c>
      <c r="E339" s="250">
        <v>1.1915285228194665E-4</v>
      </c>
      <c r="F339" s="250">
        <v>1.0357041752687651E-3</v>
      </c>
      <c r="G339" s="250">
        <v>2.0417211125630017E-3</v>
      </c>
      <c r="H339" s="250">
        <v>0</v>
      </c>
      <c r="I339" s="250">
        <v>0</v>
      </c>
      <c r="J339" s="251">
        <v>2.3573524268115739E-4</v>
      </c>
      <c r="K339" s="249">
        <v>0</v>
      </c>
      <c r="L339" s="250">
        <v>1.9112380964942362E-3</v>
      </c>
      <c r="M339" s="250">
        <v>7.5500793582925895E-3</v>
      </c>
      <c r="N339" s="250">
        <v>1.3493363456650663E-2</v>
      </c>
      <c r="O339" s="249">
        <v>6.0023001065490538E-3</v>
      </c>
      <c r="P339" s="249">
        <v>0</v>
      </c>
      <c r="Q339" s="250">
        <v>0</v>
      </c>
      <c r="R339" s="252">
        <v>0</v>
      </c>
      <c r="S339" s="15"/>
      <c r="T339" s="15"/>
      <c r="U339" s="15"/>
      <c r="V339" s="15"/>
    </row>
    <row r="340" spans="1:22">
      <c r="A340" s="253"/>
      <c r="B340" s="254" t="s">
        <v>101</v>
      </c>
      <c r="C340" s="255">
        <v>5.2295722089713008E-5</v>
      </c>
      <c r="D340" s="256">
        <v>2.1184645369036521E-5</v>
      </c>
      <c r="E340" s="256">
        <v>7.5622944001209967E-5</v>
      </c>
      <c r="F340" s="256">
        <v>6.671968298041541E-4</v>
      </c>
      <c r="G340" s="256">
        <v>1.5627090199321408E-3</v>
      </c>
      <c r="H340" s="256">
        <v>2.3901302875275884E-3</v>
      </c>
      <c r="I340" s="256">
        <v>0</v>
      </c>
      <c r="J340" s="257">
        <v>2.6835868822267845E-4</v>
      </c>
      <c r="K340" s="255">
        <v>0</v>
      </c>
      <c r="L340" s="256">
        <v>1.1227634313561549E-3</v>
      </c>
      <c r="M340" s="256">
        <v>7.030096299839847E-3</v>
      </c>
      <c r="N340" s="256">
        <v>1.2925134160288555E-2</v>
      </c>
      <c r="O340" s="255">
        <v>5.2237083045050224E-3</v>
      </c>
      <c r="P340" s="255">
        <v>0</v>
      </c>
      <c r="Q340" s="256">
        <v>0</v>
      </c>
      <c r="R340" s="258">
        <v>0</v>
      </c>
      <c r="S340" s="15"/>
      <c r="T340" s="15"/>
      <c r="U340" s="15"/>
      <c r="V340" s="15"/>
    </row>
    <row r="341" spans="1:22">
      <c r="A341" s="253"/>
      <c r="B341" s="317" t="s">
        <v>102</v>
      </c>
      <c r="C341" s="318">
        <v>8.6337169485119008E-4</v>
      </c>
      <c r="D341" s="319">
        <v>0</v>
      </c>
      <c r="E341" s="319">
        <v>-4.352990828073668E-3</v>
      </c>
      <c r="F341" s="319">
        <v>-3.6850734546461102E-2</v>
      </c>
      <c r="G341" s="319">
        <v>-4.7901209263086088E-2</v>
      </c>
      <c r="H341" s="319">
        <v>0</v>
      </c>
      <c r="I341" s="319">
        <v>0</v>
      </c>
      <c r="J341" s="320">
        <v>3.2623445541521065E-3</v>
      </c>
      <c r="K341" s="318">
        <v>0</v>
      </c>
      <c r="L341" s="319">
        <v>-7.8847466513808126E-2</v>
      </c>
      <c r="M341" s="319">
        <v>-5.1998305845274255E-2</v>
      </c>
      <c r="N341" s="319">
        <v>-5.6822929636210842E-2</v>
      </c>
      <c r="O341" s="318">
        <v>-7.7859180204403133E-2</v>
      </c>
      <c r="P341" s="321">
        <v>0</v>
      </c>
      <c r="Q341" s="319">
        <v>0</v>
      </c>
      <c r="R341" s="322">
        <v>0</v>
      </c>
      <c r="S341" s="15"/>
      <c r="T341" s="15"/>
      <c r="U341" s="15"/>
      <c r="V341" s="15"/>
    </row>
    <row r="342" spans="1:22">
      <c r="A342" s="253"/>
      <c r="B342" s="234" t="s">
        <v>103</v>
      </c>
      <c r="C342" s="249">
        <v>2.7106828191829021E-4</v>
      </c>
      <c r="D342" s="250">
        <v>0</v>
      </c>
      <c r="E342" s="250">
        <v>0</v>
      </c>
      <c r="F342" s="250">
        <v>0</v>
      </c>
      <c r="G342" s="250">
        <v>0</v>
      </c>
      <c r="H342" s="250">
        <v>0</v>
      </c>
      <c r="I342" s="250">
        <v>0</v>
      </c>
      <c r="J342" s="251">
        <v>9.0217169074038834E-5</v>
      </c>
      <c r="K342" s="249">
        <v>0</v>
      </c>
      <c r="L342" s="250">
        <v>2.743824025956897E-3</v>
      </c>
      <c r="M342" s="250">
        <v>1.5627334585650104E-3</v>
      </c>
      <c r="N342" s="250">
        <v>8.952273369104773E-3</v>
      </c>
      <c r="O342" s="249">
        <v>3.2920642647416756E-3</v>
      </c>
      <c r="P342" s="249">
        <v>0</v>
      </c>
      <c r="Q342" s="250">
        <v>0</v>
      </c>
      <c r="R342" s="252">
        <v>0</v>
      </c>
      <c r="S342" s="15"/>
      <c r="T342" s="15"/>
      <c r="U342" s="15"/>
      <c r="V342" s="15"/>
    </row>
    <row r="343" spans="1:22">
      <c r="A343" s="253"/>
      <c r="B343" s="254" t="s">
        <v>104</v>
      </c>
      <c r="C343" s="255">
        <v>1.3164095560513965E-4</v>
      </c>
      <c r="D343" s="256">
        <v>0</v>
      </c>
      <c r="E343" s="256">
        <v>1.6991231088879453E-4</v>
      </c>
      <c r="F343" s="256">
        <v>2.0218085751641033E-5</v>
      </c>
      <c r="G343" s="256">
        <v>0</v>
      </c>
      <c r="H343" s="256">
        <v>0</v>
      </c>
      <c r="I343" s="256">
        <v>0</v>
      </c>
      <c r="J343" s="257">
        <v>1.1555445007797422E-4</v>
      </c>
      <c r="K343" s="255">
        <v>0</v>
      </c>
      <c r="L343" s="256">
        <v>2.1300653750905775E-3</v>
      </c>
      <c r="M343" s="256">
        <v>7.7633855519767126E-4</v>
      </c>
      <c r="N343" s="256">
        <v>6.6027389226122404E-3</v>
      </c>
      <c r="O343" s="255">
        <v>2.3168204033373703E-3</v>
      </c>
      <c r="P343" s="255">
        <v>0</v>
      </c>
      <c r="Q343" s="256">
        <v>0</v>
      </c>
      <c r="R343" s="258">
        <v>0</v>
      </c>
      <c r="S343" s="15"/>
      <c r="T343" s="15"/>
      <c r="U343" s="15"/>
      <c r="V343" s="15"/>
    </row>
    <row r="344" spans="1:22">
      <c r="A344" s="253"/>
      <c r="B344" s="317" t="s">
        <v>105</v>
      </c>
      <c r="C344" s="318">
        <v>-1.3942732631315057E-2</v>
      </c>
      <c r="D344" s="319">
        <v>0</v>
      </c>
      <c r="E344" s="319">
        <v>0</v>
      </c>
      <c r="F344" s="319">
        <v>0</v>
      </c>
      <c r="G344" s="319">
        <v>0</v>
      </c>
      <c r="H344" s="319">
        <v>0</v>
      </c>
      <c r="I344" s="319">
        <v>0</v>
      </c>
      <c r="J344" s="320">
        <v>2.5337281003935388E-3</v>
      </c>
      <c r="K344" s="318">
        <v>0</v>
      </c>
      <c r="L344" s="319">
        <v>-6.1375865086631946E-2</v>
      </c>
      <c r="M344" s="319">
        <v>-7.8639490336733911E-2</v>
      </c>
      <c r="N344" s="319">
        <v>-0.23495344464925325</v>
      </c>
      <c r="O344" s="318">
        <v>-9.7524386140430533E-2</v>
      </c>
      <c r="P344" s="321">
        <v>0</v>
      </c>
      <c r="Q344" s="319">
        <v>0</v>
      </c>
      <c r="R344" s="322">
        <v>0</v>
      </c>
      <c r="S344" s="15"/>
      <c r="T344" s="15"/>
      <c r="U344" s="15"/>
      <c r="V344" s="15"/>
    </row>
    <row r="345" spans="1:22">
      <c r="A345" s="253"/>
      <c r="B345" s="234" t="s">
        <v>106</v>
      </c>
      <c r="C345" s="249">
        <v>0</v>
      </c>
      <c r="D345" s="250">
        <v>0</v>
      </c>
      <c r="E345" s="250">
        <v>0</v>
      </c>
      <c r="F345" s="250">
        <v>0</v>
      </c>
      <c r="G345" s="250">
        <v>0</v>
      </c>
      <c r="H345" s="250">
        <v>0</v>
      </c>
      <c r="I345" s="250">
        <v>0</v>
      </c>
      <c r="J345" s="251">
        <v>0</v>
      </c>
      <c r="K345" s="249">
        <v>0</v>
      </c>
      <c r="L345" s="250">
        <v>0</v>
      </c>
      <c r="M345" s="250">
        <v>0</v>
      </c>
      <c r="N345" s="250">
        <v>0</v>
      </c>
      <c r="O345" s="249">
        <v>0</v>
      </c>
      <c r="P345" s="249">
        <v>0</v>
      </c>
      <c r="Q345" s="250">
        <v>0</v>
      </c>
      <c r="R345" s="252">
        <v>0</v>
      </c>
      <c r="S345" s="15"/>
      <c r="T345" s="15"/>
      <c r="U345" s="15"/>
      <c r="V345" s="15"/>
    </row>
    <row r="346" spans="1:22">
      <c r="A346" s="253"/>
      <c r="B346" s="254" t="s">
        <v>107</v>
      </c>
      <c r="C346" s="255">
        <v>0</v>
      </c>
      <c r="D346" s="256">
        <v>0</v>
      </c>
      <c r="E346" s="256">
        <v>0</v>
      </c>
      <c r="F346" s="256">
        <v>0</v>
      </c>
      <c r="G346" s="256">
        <v>0</v>
      </c>
      <c r="H346" s="256">
        <v>0</v>
      </c>
      <c r="I346" s="256">
        <v>0</v>
      </c>
      <c r="J346" s="257">
        <v>0</v>
      </c>
      <c r="K346" s="255">
        <v>0</v>
      </c>
      <c r="L346" s="256">
        <v>0</v>
      </c>
      <c r="M346" s="256">
        <v>0</v>
      </c>
      <c r="N346" s="256">
        <v>0</v>
      </c>
      <c r="O346" s="255">
        <v>0</v>
      </c>
      <c r="P346" s="255">
        <v>0</v>
      </c>
      <c r="Q346" s="256">
        <v>0</v>
      </c>
      <c r="R346" s="258">
        <v>0</v>
      </c>
      <c r="S346" s="15"/>
      <c r="T346" s="15"/>
      <c r="U346" s="15"/>
      <c r="V346" s="15"/>
    </row>
    <row r="347" spans="1:22">
      <c r="A347" s="253"/>
      <c r="B347" s="317" t="s">
        <v>108</v>
      </c>
      <c r="C347" s="318">
        <v>0</v>
      </c>
      <c r="D347" s="319">
        <v>0</v>
      </c>
      <c r="E347" s="319">
        <v>0</v>
      </c>
      <c r="F347" s="319">
        <v>0</v>
      </c>
      <c r="G347" s="319">
        <v>0</v>
      </c>
      <c r="H347" s="319">
        <v>0</v>
      </c>
      <c r="I347" s="319">
        <v>0</v>
      </c>
      <c r="J347" s="320">
        <v>0</v>
      </c>
      <c r="K347" s="318">
        <v>0</v>
      </c>
      <c r="L347" s="319">
        <v>0</v>
      </c>
      <c r="M347" s="319">
        <v>0</v>
      </c>
      <c r="N347" s="319">
        <v>0</v>
      </c>
      <c r="O347" s="318">
        <v>0</v>
      </c>
      <c r="P347" s="321">
        <v>0</v>
      </c>
      <c r="Q347" s="319">
        <v>0</v>
      </c>
      <c r="R347" s="322">
        <v>0</v>
      </c>
      <c r="S347" s="15"/>
      <c r="T347" s="15"/>
      <c r="U347" s="15"/>
      <c r="V347" s="15"/>
    </row>
    <row r="348" spans="1:22">
      <c r="A348" s="253"/>
      <c r="B348" s="234" t="s">
        <v>109</v>
      </c>
      <c r="C348" s="249">
        <v>0.82723661840448959</v>
      </c>
      <c r="D348" s="250">
        <v>0.81437493327639587</v>
      </c>
      <c r="E348" s="250">
        <v>0.62244499040582468</v>
      </c>
      <c r="F348" s="250">
        <v>0.57987540914370184</v>
      </c>
      <c r="G348" s="250">
        <v>0.6394679100383982</v>
      </c>
      <c r="H348" s="250">
        <v>0.67610269914417376</v>
      </c>
      <c r="I348" s="250">
        <v>0</v>
      </c>
      <c r="J348" s="251">
        <v>0.74480494925586727</v>
      </c>
      <c r="K348" s="249">
        <v>0</v>
      </c>
      <c r="L348" s="250">
        <v>0</v>
      </c>
      <c r="M348" s="250">
        <v>0</v>
      </c>
      <c r="N348" s="250">
        <v>0</v>
      </c>
      <c r="O348" s="249">
        <v>0</v>
      </c>
      <c r="P348" s="249">
        <v>0</v>
      </c>
      <c r="Q348" s="250">
        <v>0</v>
      </c>
      <c r="R348" s="252">
        <v>0</v>
      </c>
      <c r="S348" s="15"/>
      <c r="T348" s="15"/>
      <c r="U348" s="15"/>
      <c r="V348" s="15"/>
    </row>
    <row r="349" spans="1:22">
      <c r="A349" s="253"/>
      <c r="B349" s="254" t="s">
        <v>110</v>
      </c>
      <c r="C349" s="255">
        <v>0.82957921595454109</v>
      </c>
      <c r="D349" s="256">
        <v>0.82524785563105718</v>
      </c>
      <c r="E349" s="256">
        <v>0.63038931094178929</v>
      </c>
      <c r="F349" s="256">
        <v>0.56932153392330387</v>
      </c>
      <c r="G349" s="256">
        <v>0.58750217126975857</v>
      </c>
      <c r="H349" s="256">
        <v>0.62451737451737455</v>
      </c>
      <c r="I349" s="256">
        <v>0</v>
      </c>
      <c r="J349" s="257">
        <v>0.74930963744831158</v>
      </c>
      <c r="K349" s="255">
        <v>0</v>
      </c>
      <c r="L349" s="256">
        <v>0</v>
      </c>
      <c r="M349" s="256">
        <v>0</v>
      </c>
      <c r="N349" s="256">
        <v>0</v>
      </c>
      <c r="O349" s="255">
        <v>0</v>
      </c>
      <c r="P349" s="255">
        <v>0</v>
      </c>
      <c r="Q349" s="256">
        <v>0</v>
      </c>
      <c r="R349" s="258">
        <v>0</v>
      </c>
      <c r="S349" s="15"/>
      <c r="T349" s="15"/>
      <c r="U349" s="15"/>
      <c r="V349" s="15"/>
    </row>
    <row r="350" spans="1:22">
      <c r="A350" s="253"/>
      <c r="B350" s="317" t="s">
        <v>111</v>
      </c>
      <c r="C350" s="318">
        <v>0.23425975500515062</v>
      </c>
      <c r="D350" s="319">
        <v>1.0872922354661307</v>
      </c>
      <c r="E350" s="319">
        <v>0.79443205359646107</v>
      </c>
      <c r="F350" s="319">
        <v>-1.0553875220397968</v>
      </c>
      <c r="G350" s="331">
        <v>-5.1965738768639635</v>
      </c>
      <c r="H350" s="331">
        <v>-5.1585324626799212</v>
      </c>
      <c r="I350" s="319">
        <v>0</v>
      </c>
      <c r="J350" s="320">
        <v>0.45046881924443172</v>
      </c>
      <c r="K350" s="318">
        <v>0</v>
      </c>
      <c r="L350" s="319">
        <v>0</v>
      </c>
      <c r="M350" s="319">
        <v>0</v>
      </c>
      <c r="N350" s="319">
        <v>0</v>
      </c>
      <c r="O350" s="318">
        <v>0</v>
      </c>
      <c r="P350" s="321">
        <v>0</v>
      </c>
      <c r="Q350" s="319">
        <v>0</v>
      </c>
      <c r="R350" s="322">
        <v>0</v>
      </c>
      <c r="S350" s="15"/>
      <c r="T350" s="15"/>
      <c r="U350" s="15"/>
      <c r="V350" s="15"/>
    </row>
    <row r="351" spans="1:22">
      <c r="A351" s="253"/>
      <c r="B351" s="234" t="s">
        <v>112</v>
      </c>
      <c r="C351" s="249">
        <v>6.0071114409945989E-2</v>
      </c>
      <c r="D351" s="250">
        <v>5.0322942244048256E-2</v>
      </c>
      <c r="E351" s="250">
        <v>8.9302942811541705E-2</v>
      </c>
      <c r="F351" s="250">
        <v>0.1774891774891775</v>
      </c>
      <c r="G351" s="250">
        <v>6.1345767050649112E-2</v>
      </c>
      <c r="H351" s="250">
        <v>8.3607636603028307E-2</v>
      </c>
      <c r="I351" s="250">
        <v>0</v>
      </c>
      <c r="J351" s="251">
        <v>7.1015048172230838E-2</v>
      </c>
      <c r="K351" s="249">
        <v>0</v>
      </c>
      <c r="L351" s="250">
        <v>0</v>
      </c>
      <c r="M351" s="250">
        <v>0</v>
      </c>
      <c r="N351" s="250">
        <v>0</v>
      </c>
      <c r="O351" s="249">
        <v>0</v>
      </c>
      <c r="P351" s="249">
        <v>0</v>
      </c>
      <c r="Q351" s="250">
        <v>0</v>
      </c>
      <c r="R351" s="252">
        <v>0</v>
      </c>
      <c r="S351" s="15"/>
      <c r="T351" s="15"/>
      <c r="U351" s="15"/>
      <c r="V351" s="15"/>
    </row>
    <row r="352" spans="1:22">
      <c r="A352" s="253"/>
      <c r="B352" s="254" t="s">
        <v>113</v>
      </c>
      <c r="C352" s="255">
        <v>5.7577558184242192E-2</v>
      </c>
      <c r="D352" s="256">
        <v>3.3752924139467531E-2</v>
      </c>
      <c r="E352" s="256">
        <v>8.168131855751791E-2</v>
      </c>
      <c r="F352" s="256">
        <v>0.18399705014749262</v>
      </c>
      <c r="G352" s="256">
        <v>6.7743616466909851E-2</v>
      </c>
      <c r="H352" s="256">
        <v>4.633204633204633E-2</v>
      </c>
      <c r="I352" s="256">
        <v>0</v>
      </c>
      <c r="J352" s="257">
        <v>6.5697727709907006E-2</v>
      </c>
      <c r="K352" s="255">
        <v>0</v>
      </c>
      <c r="L352" s="256">
        <v>0</v>
      </c>
      <c r="M352" s="256">
        <v>0</v>
      </c>
      <c r="N352" s="256">
        <v>0</v>
      </c>
      <c r="O352" s="255">
        <v>0</v>
      </c>
      <c r="P352" s="255">
        <v>0</v>
      </c>
      <c r="Q352" s="256">
        <v>0</v>
      </c>
      <c r="R352" s="258">
        <v>0</v>
      </c>
      <c r="S352" s="15"/>
      <c r="T352" s="15"/>
      <c r="U352" s="15"/>
      <c r="V352" s="15"/>
    </row>
    <row r="353" spans="1:22">
      <c r="A353" s="253"/>
      <c r="B353" s="317" t="s">
        <v>114</v>
      </c>
      <c r="C353" s="318">
        <v>-0.24935562257037969</v>
      </c>
      <c r="D353" s="319">
        <v>-1.6570018104580724</v>
      </c>
      <c r="E353" s="319">
        <v>-0.76216242540237955</v>
      </c>
      <c r="F353" s="319">
        <v>0.65078726583151225</v>
      </c>
      <c r="G353" s="319">
        <v>0.6397849416260738</v>
      </c>
      <c r="H353" s="319">
        <v>-3.7275590270981978</v>
      </c>
      <c r="I353" s="319">
        <v>0</v>
      </c>
      <c r="J353" s="320">
        <v>-0.53173204623238324</v>
      </c>
      <c r="K353" s="318">
        <v>0</v>
      </c>
      <c r="L353" s="319">
        <v>0</v>
      </c>
      <c r="M353" s="319">
        <v>0</v>
      </c>
      <c r="N353" s="319">
        <v>0</v>
      </c>
      <c r="O353" s="318">
        <v>0</v>
      </c>
      <c r="P353" s="321">
        <v>0</v>
      </c>
      <c r="Q353" s="319">
        <v>0</v>
      </c>
      <c r="R353" s="322">
        <v>0</v>
      </c>
      <c r="S353" s="15"/>
      <c r="T353" s="15"/>
      <c r="U353" s="15"/>
      <c r="V353" s="15"/>
    </row>
    <row r="354" spans="1:22">
      <c r="A354" s="253"/>
      <c r="B354" s="234" t="s">
        <v>115</v>
      </c>
      <c r="C354" s="249">
        <v>0.10959292266182541</v>
      </c>
      <c r="D354" s="250">
        <v>0.13498185117967332</v>
      </c>
      <c r="E354" s="250">
        <v>0.28640137725732118</v>
      </c>
      <c r="F354" s="250">
        <v>0.24263541336712069</v>
      </c>
      <c r="G354" s="250">
        <v>0.29287803986103494</v>
      </c>
      <c r="H354" s="250">
        <v>0.24028966425279788</v>
      </c>
      <c r="I354" s="250">
        <v>0</v>
      </c>
      <c r="J354" s="251">
        <v>0.18174306191280742</v>
      </c>
      <c r="K354" s="249">
        <v>0</v>
      </c>
      <c r="L354" s="250">
        <v>0</v>
      </c>
      <c r="M354" s="250">
        <v>0</v>
      </c>
      <c r="N354" s="250">
        <v>0</v>
      </c>
      <c r="O354" s="249">
        <v>0</v>
      </c>
      <c r="P354" s="249">
        <v>0</v>
      </c>
      <c r="Q354" s="250">
        <v>0</v>
      </c>
      <c r="R354" s="252">
        <v>0</v>
      </c>
      <c r="S354" s="15"/>
      <c r="T354" s="15"/>
      <c r="U354" s="15"/>
      <c r="V354" s="15"/>
    </row>
    <row r="355" spans="1:22">
      <c r="A355" s="253"/>
      <c r="B355" s="254" t="s">
        <v>116</v>
      </c>
      <c r="C355" s="255">
        <v>0.11139767013367022</v>
      </c>
      <c r="D355" s="256">
        <v>0.14062325944079312</v>
      </c>
      <c r="E355" s="256">
        <v>0.28699805851493293</v>
      </c>
      <c r="F355" s="256">
        <v>0.24668141592920353</v>
      </c>
      <c r="G355" s="256">
        <v>0.33680736494702102</v>
      </c>
      <c r="H355" s="256">
        <v>0.32915057915057916</v>
      </c>
      <c r="I355" s="256">
        <v>0</v>
      </c>
      <c r="J355" s="257">
        <v>0.18365386725673999</v>
      </c>
      <c r="K355" s="255">
        <v>0</v>
      </c>
      <c r="L355" s="256">
        <v>0</v>
      </c>
      <c r="M355" s="256">
        <v>0</v>
      </c>
      <c r="N355" s="256">
        <v>0</v>
      </c>
      <c r="O355" s="255">
        <v>0</v>
      </c>
      <c r="P355" s="255">
        <v>0</v>
      </c>
      <c r="Q355" s="256">
        <v>0</v>
      </c>
      <c r="R355" s="258">
        <v>0</v>
      </c>
      <c r="S355" s="15"/>
      <c r="T355" s="15"/>
      <c r="U355" s="15"/>
      <c r="V355" s="15"/>
    </row>
    <row r="356" spans="1:22">
      <c r="A356" s="253"/>
      <c r="B356" s="317" t="s">
        <v>117</v>
      </c>
      <c r="C356" s="318">
        <v>0.18047474718448087</v>
      </c>
      <c r="D356" s="319">
        <v>0.56414082611198069</v>
      </c>
      <c r="E356" s="319">
        <v>5.9668125761175306E-2</v>
      </c>
      <c r="F356" s="319">
        <v>0.40460025620828455</v>
      </c>
      <c r="G356" s="331">
        <v>4.3929325085986068</v>
      </c>
      <c r="H356" s="331">
        <v>8.8860914897781278</v>
      </c>
      <c r="I356" s="319">
        <v>0</v>
      </c>
      <c r="J356" s="320">
        <v>0.19108053439325645</v>
      </c>
      <c r="K356" s="318">
        <v>0</v>
      </c>
      <c r="L356" s="319">
        <v>0</v>
      </c>
      <c r="M356" s="319">
        <v>0</v>
      </c>
      <c r="N356" s="319">
        <v>0</v>
      </c>
      <c r="O356" s="318">
        <v>0</v>
      </c>
      <c r="P356" s="321">
        <v>0</v>
      </c>
      <c r="Q356" s="319">
        <v>0</v>
      </c>
      <c r="R356" s="322">
        <v>0</v>
      </c>
      <c r="S356" s="15"/>
      <c r="T356" s="15"/>
      <c r="U356" s="15"/>
      <c r="V356" s="15"/>
    </row>
    <row r="357" spans="1:22">
      <c r="A357" s="253"/>
      <c r="B357" s="234" t="s">
        <v>118</v>
      </c>
      <c r="C357" s="249">
        <v>1.8957155824811808E-3</v>
      </c>
      <c r="D357" s="250">
        <v>3.2027329988256647E-4</v>
      </c>
      <c r="E357" s="250">
        <v>1.8506895253124832E-3</v>
      </c>
      <c r="F357" s="250">
        <v>0</v>
      </c>
      <c r="G357" s="250">
        <v>6.308283049917718E-3</v>
      </c>
      <c r="H357" s="250">
        <v>0</v>
      </c>
      <c r="I357" s="250">
        <v>0</v>
      </c>
      <c r="J357" s="251">
        <v>1.8257956662180693E-3</v>
      </c>
      <c r="K357" s="249">
        <v>0</v>
      </c>
      <c r="L357" s="250">
        <v>0</v>
      </c>
      <c r="M357" s="250">
        <v>0</v>
      </c>
      <c r="N357" s="250">
        <v>0</v>
      </c>
      <c r="O357" s="249">
        <v>0</v>
      </c>
      <c r="P357" s="249">
        <v>0</v>
      </c>
      <c r="Q357" s="250">
        <v>0</v>
      </c>
      <c r="R357" s="252">
        <v>0</v>
      </c>
      <c r="S357" s="15"/>
      <c r="T357" s="15"/>
      <c r="U357" s="15"/>
      <c r="V357" s="15"/>
    </row>
    <row r="358" spans="1:22">
      <c r="A358" s="253"/>
      <c r="B358" s="254" t="s">
        <v>119</v>
      </c>
      <c r="C358" s="255">
        <v>9.2126090408400701E-4</v>
      </c>
      <c r="D358" s="256">
        <v>3.7596078868218781E-4</v>
      </c>
      <c r="E358" s="256">
        <v>7.9987682647930268E-4</v>
      </c>
      <c r="F358" s="256">
        <v>0</v>
      </c>
      <c r="G358" s="256">
        <v>7.9468473163105784E-3</v>
      </c>
      <c r="H358" s="256">
        <v>0</v>
      </c>
      <c r="I358" s="256">
        <v>0</v>
      </c>
      <c r="J358" s="257">
        <v>1.0224724468204593E-3</v>
      </c>
      <c r="K358" s="255">
        <v>0</v>
      </c>
      <c r="L358" s="256">
        <v>0</v>
      </c>
      <c r="M358" s="256">
        <v>0</v>
      </c>
      <c r="N358" s="256">
        <v>0</v>
      </c>
      <c r="O358" s="255">
        <v>0</v>
      </c>
      <c r="P358" s="255">
        <v>0</v>
      </c>
      <c r="Q358" s="256">
        <v>0</v>
      </c>
      <c r="R358" s="258">
        <v>0</v>
      </c>
      <c r="S358" s="15"/>
      <c r="T358" s="15"/>
      <c r="U358" s="15"/>
      <c r="V358" s="15"/>
    </row>
    <row r="359" spans="1:22">
      <c r="A359" s="253"/>
      <c r="B359" s="317" t="s">
        <v>120</v>
      </c>
      <c r="C359" s="318">
        <v>-9.7445467839717373E-2</v>
      </c>
      <c r="D359" s="319">
        <v>5.5687488799621345E-3</v>
      </c>
      <c r="E359" s="319">
        <v>-0.10508126988331805</v>
      </c>
      <c r="F359" s="319">
        <v>0</v>
      </c>
      <c r="G359" s="319">
        <v>0.16385642663928604</v>
      </c>
      <c r="H359" s="319">
        <v>0</v>
      </c>
      <c r="I359" s="319">
        <v>0</v>
      </c>
      <c r="J359" s="320">
        <v>-8.0332321939761003E-2</v>
      </c>
      <c r="K359" s="318">
        <v>0</v>
      </c>
      <c r="L359" s="319">
        <v>0</v>
      </c>
      <c r="M359" s="319">
        <v>0</v>
      </c>
      <c r="N359" s="319">
        <v>0</v>
      </c>
      <c r="O359" s="318">
        <v>0</v>
      </c>
      <c r="P359" s="321">
        <v>0</v>
      </c>
      <c r="Q359" s="319">
        <v>0</v>
      </c>
      <c r="R359" s="322">
        <v>0</v>
      </c>
      <c r="S359" s="15"/>
      <c r="T359" s="15"/>
      <c r="U359" s="15"/>
      <c r="V359" s="15"/>
    </row>
    <row r="360" spans="1:22">
      <c r="A360" s="253"/>
      <c r="B360" s="234" t="s">
        <v>121</v>
      </c>
      <c r="C360" s="249">
        <v>1.2036289412578926E-3</v>
      </c>
      <c r="D360" s="250">
        <v>0</v>
      </c>
      <c r="E360" s="250">
        <v>0</v>
      </c>
      <c r="F360" s="250">
        <v>0</v>
      </c>
      <c r="G360" s="250">
        <v>0</v>
      </c>
      <c r="H360" s="250">
        <v>0</v>
      </c>
      <c r="I360" s="250">
        <v>0</v>
      </c>
      <c r="J360" s="251">
        <v>6.1114499287634114E-4</v>
      </c>
      <c r="K360" s="249">
        <v>0</v>
      </c>
      <c r="L360" s="250">
        <v>0</v>
      </c>
      <c r="M360" s="250">
        <v>0</v>
      </c>
      <c r="N360" s="250">
        <v>0</v>
      </c>
      <c r="O360" s="249">
        <v>0</v>
      </c>
      <c r="P360" s="249">
        <v>0</v>
      </c>
      <c r="Q360" s="250">
        <v>0</v>
      </c>
      <c r="R360" s="252">
        <v>0</v>
      </c>
      <c r="S360" s="15"/>
      <c r="T360" s="15"/>
      <c r="U360" s="15"/>
      <c r="V360" s="15"/>
    </row>
    <row r="361" spans="1:22">
      <c r="A361" s="253"/>
      <c r="B361" s="254" t="s">
        <v>122</v>
      </c>
      <c r="C361" s="255">
        <v>5.24294823462443E-4</v>
      </c>
      <c r="D361" s="256">
        <v>0</v>
      </c>
      <c r="E361" s="256">
        <v>1.3143515928063659E-4</v>
      </c>
      <c r="F361" s="256">
        <v>0</v>
      </c>
      <c r="G361" s="256">
        <v>0</v>
      </c>
      <c r="H361" s="256">
        <v>0</v>
      </c>
      <c r="I361" s="256">
        <v>0</v>
      </c>
      <c r="J361" s="257">
        <v>3.1629513822097538E-4</v>
      </c>
      <c r="K361" s="255">
        <v>0</v>
      </c>
      <c r="L361" s="256">
        <v>0</v>
      </c>
      <c r="M361" s="256">
        <v>0</v>
      </c>
      <c r="N361" s="256">
        <v>0</v>
      </c>
      <c r="O361" s="255">
        <v>0</v>
      </c>
      <c r="P361" s="255">
        <v>0</v>
      </c>
      <c r="Q361" s="256">
        <v>0</v>
      </c>
      <c r="R361" s="258">
        <v>0</v>
      </c>
      <c r="S361" s="15"/>
      <c r="T361" s="15"/>
      <c r="U361" s="15"/>
      <c r="V361" s="15"/>
    </row>
    <row r="362" spans="1:22">
      <c r="A362" s="253"/>
      <c r="B362" s="317" t="s">
        <v>123</v>
      </c>
      <c r="C362" s="318">
        <v>-6.7933411779544955E-2</v>
      </c>
      <c r="D362" s="319">
        <v>0</v>
      </c>
      <c r="E362" s="319">
        <v>0</v>
      </c>
      <c r="F362" s="319">
        <v>0</v>
      </c>
      <c r="G362" s="319">
        <v>0</v>
      </c>
      <c r="H362" s="319">
        <v>0</v>
      </c>
      <c r="I362" s="319">
        <v>0</v>
      </c>
      <c r="J362" s="320">
        <v>-2.9484985465536576E-2</v>
      </c>
      <c r="K362" s="318">
        <v>0</v>
      </c>
      <c r="L362" s="319">
        <v>0</v>
      </c>
      <c r="M362" s="319">
        <v>0</v>
      </c>
      <c r="N362" s="319">
        <v>0</v>
      </c>
      <c r="O362" s="318">
        <v>0</v>
      </c>
      <c r="P362" s="321">
        <v>0</v>
      </c>
      <c r="Q362" s="319">
        <v>0</v>
      </c>
      <c r="R362" s="322">
        <v>0</v>
      </c>
      <c r="S362" s="15"/>
      <c r="T362" s="15"/>
      <c r="U362" s="15"/>
      <c r="V362" s="15"/>
    </row>
    <row r="363" spans="1:22">
      <c r="A363" s="253"/>
      <c r="B363" s="234" t="s">
        <v>124</v>
      </c>
      <c r="C363" s="249">
        <v>0</v>
      </c>
      <c r="D363" s="250">
        <v>0</v>
      </c>
      <c r="E363" s="250">
        <v>0</v>
      </c>
      <c r="F363" s="250">
        <v>0</v>
      </c>
      <c r="G363" s="250">
        <v>0</v>
      </c>
      <c r="H363" s="250">
        <v>0</v>
      </c>
      <c r="I363" s="250">
        <v>0</v>
      </c>
      <c r="J363" s="251">
        <v>0</v>
      </c>
      <c r="K363" s="249">
        <v>0</v>
      </c>
      <c r="L363" s="250">
        <v>0</v>
      </c>
      <c r="M363" s="250">
        <v>0</v>
      </c>
      <c r="N363" s="250">
        <v>0</v>
      </c>
      <c r="O363" s="249">
        <v>0</v>
      </c>
      <c r="P363" s="249">
        <v>0</v>
      </c>
      <c r="Q363" s="250">
        <v>0</v>
      </c>
      <c r="R363" s="252">
        <v>0</v>
      </c>
      <c r="S363" s="15"/>
      <c r="T363" s="15"/>
      <c r="U363" s="15"/>
      <c r="V363" s="15"/>
    </row>
    <row r="364" spans="1:22">
      <c r="A364" s="253"/>
      <c r="B364" s="254" t="s">
        <v>125</v>
      </c>
      <c r="C364" s="255">
        <v>0</v>
      </c>
      <c r="D364" s="256">
        <v>0</v>
      </c>
      <c r="E364" s="256">
        <v>0</v>
      </c>
      <c r="F364" s="256">
        <v>0</v>
      </c>
      <c r="G364" s="256">
        <v>0</v>
      </c>
      <c r="H364" s="256">
        <v>0</v>
      </c>
      <c r="I364" s="256">
        <v>0</v>
      </c>
      <c r="J364" s="257">
        <v>0</v>
      </c>
      <c r="K364" s="255">
        <v>0</v>
      </c>
      <c r="L364" s="256">
        <v>0</v>
      </c>
      <c r="M364" s="256">
        <v>0</v>
      </c>
      <c r="N364" s="256">
        <v>0</v>
      </c>
      <c r="O364" s="255">
        <v>0</v>
      </c>
      <c r="P364" s="255">
        <v>0</v>
      </c>
      <c r="Q364" s="256">
        <v>0</v>
      </c>
      <c r="R364" s="258">
        <v>0</v>
      </c>
      <c r="S364" s="15"/>
      <c r="T364" s="15"/>
      <c r="U364" s="15"/>
      <c r="V364" s="15"/>
    </row>
    <row r="365" spans="1:22">
      <c r="A365" s="260"/>
      <c r="B365" s="317" t="s">
        <v>126</v>
      </c>
      <c r="C365" s="318">
        <v>0</v>
      </c>
      <c r="D365" s="319">
        <v>0</v>
      </c>
      <c r="E365" s="319">
        <v>0</v>
      </c>
      <c r="F365" s="319">
        <v>0</v>
      </c>
      <c r="G365" s="319">
        <v>0</v>
      </c>
      <c r="H365" s="319">
        <v>0</v>
      </c>
      <c r="I365" s="319">
        <v>0</v>
      </c>
      <c r="J365" s="320">
        <v>0</v>
      </c>
      <c r="K365" s="318">
        <v>0</v>
      </c>
      <c r="L365" s="319">
        <v>0</v>
      </c>
      <c r="M365" s="319">
        <v>0</v>
      </c>
      <c r="N365" s="319">
        <v>0</v>
      </c>
      <c r="O365" s="318">
        <v>0</v>
      </c>
      <c r="P365" s="321">
        <v>0</v>
      </c>
      <c r="Q365" s="319">
        <v>0</v>
      </c>
      <c r="R365" s="322">
        <v>0</v>
      </c>
      <c r="S365" s="15"/>
      <c r="T365" s="15"/>
      <c r="U365" s="15"/>
      <c r="V365" s="15"/>
    </row>
    <row r="366" spans="1:22">
      <c r="A366" s="248" t="s">
        <v>80</v>
      </c>
      <c r="B366" s="234" t="s">
        <v>91</v>
      </c>
      <c r="C366" s="249">
        <v>0.89784274426744892</v>
      </c>
      <c r="D366" s="250">
        <v>0</v>
      </c>
      <c r="E366" s="250">
        <v>0.91537064883262009</v>
      </c>
      <c r="F366" s="250">
        <v>0</v>
      </c>
      <c r="G366" s="250">
        <v>0.82903586676884344</v>
      </c>
      <c r="H366" s="250">
        <v>0.77431116635591468</v>
      </c>
      <c r="I366" s="250">
        <v>0</v>
      </c>
      <c r="J366" s="251">
        <v>0.87024730898230107</v>
      </c>
      <c r="K366" s="249">
        <v>0.72821448909066799</v>
      </c>
      <c r="L366" s="250">
        <v>0.75306409557621201</v>
      </c>
      <c r="M366" s="250">
        <v>0.7010417407381071</v>
      </c>
      <c r="N366" s="250">
        <v>0.60592497868712702</v>
      </c>
      <c r="O366" s="249">
        <v>0.70530546406698646</v>
      </c>
      <c r="P366" s="249">
        <v>0</v>
      </c>
      <c r="Q366" s="250">
        <v>0</v>
      </c>
      <c r="R366" s="252">
        <v>0</v>
      </c>
      <c r="S366" s="15"/>
      <c r="T366" s="15"/>
      <c r="U366" s="15"/>
      <c r="V366" s="15"/>
    </row>
    <row r="367" spans="1:22">
      <c r="A367" s="253"/>
      <c r="B367" s="254" t="s">
        <v>92</v>
      </c>
      <c r="C367" s="255">
        <v>0.87385512456649905</v>
      </c>
      <c r="D367" s="256">
        <v>0</v>
      </c>
      <c r="E367" s="256">
        <v>0.8767638563803678</v>
      </c>
      <c r="F367" s="256">
        <v>0</v>
      </c>
      <c r="G367" s="256">
        <v>0.81534039723735574</v>
      </c>
      <c r="H367" s="256">
        <v>0.78631471802554986</v>
      </c>
      <c r="I367" s="256">
        <v>0</v>
      </c>
      <c r="J367" s="257">
        <v>0.84848840837558848</v>
      </c>
      <c r="K367" s="255">
        <v>0.70503485845355229</v>
      </c>
      <c r="L367" s="256">
        <v>0.68168706749266972</v>
      </c>
      <c r="M367" s="256">
        <v>0.68496634255796562</v>
      </c>
      <c r="N367" s="256">
        <v>0.57752895304537355</v>
      </c>
      <c r="O367" s="255">
        <v>0.65834110406564716</v>
      </c>
      <c r="P367" s="255">
        <v>0</v>
      </c>
      <c r="Q367" s="256">
        <v>0</v>
      </c>
      <c r="R367" s="258">
        <v>0</v>
      </c>
      <c r="S367" s="15"/>
      <c r="T367" s="15"/>
      <c r="U367" s="15"/>
      <c r="V367" s="15"/>
    </row>
    <row r="368" spans="1:22">
      <c r="A368" s="253"/>
      <c r="B368" s="317" t="s">
        <v>93</v>
      </c>
      <c r="C368" s="318">
        <v>-2.3987619700949869</v>
      </c>
      <c r="D368" s="319">
        <v>0</v>
      </c>
      <c r="E368" s="319">
        <v>-3.8606792452252292</v>
      </c>
      <c r="F368" s="319">
        <v>0</v>
      </c>
      <c r="G368" s="319">
        <v>-1.3695469531487703</v>
      </c>
      <c r="H368" s="319">
        <v>1.2003551669635182</v>
      </c>
      <c r="I368" s="319">
        <v>0</v>
      </c>
      <c r="J368" s="320">
        <v>-2.1758900606712595</v>
      </c>
      <c r="K368" s="318">
        <v>-2.31796306371157</v>
      </c>
      <c r="L368" s="331">
        <v>-7.1377028083542289</v>
      </c>
      <c r="M368" s="319">
        <v>-1.6075398180141476</v>
      </c>
      <c r="N368" s="319">
        <v>-2.8396025641753475</v>
      </c>
      <c r="O368" s="318">
        <v>-4.6964360001339305</v>
      </c>
      <c r="P368" s="321">
        <v>0</v>
      </c>
      <c r="Q368" s="319">
        <v>0</v>
      </c>
      <c r="R368" s="322">
        <v>0</v>
      </c>
      <c r="S368" s="15"/>
      <c r="T368" s="15"/>
      <c r="U368" s="15"/>
      <c r="V368" s="15"/>
    </row>
    <row r="369" spans="1:22">
      <c r="A369" s="253"/>
      <c r="B369" s="234" t="s">
        <v>94</v>
      </c>
      <c r="C369" s="249">
        <v>5.6638154813484698E-3</v>
      </c>
      <c r="D369" s="250">
        <v>0</v>
      </c>
      <c r="E369" s="250">
        <v>3.3841926133117419E-3</v>
      </c>
      <c r="F369" s="250">
        <v>0</v>
      </c>
      <c r="G369" s="250">
        <v>6.6899529257211671E-3</v>
      </c>
      <c r="H369" s="250">
        <v>1.5703335405013466E-2</v>
      </c>
      <c r="I369" s="250">
        <v>0</v>
      </c>
      <c r="J369" s="251">
        <v>6.2013577959849422E-3</v>
      </c>
      <c r="K369" s="249">
        <v>5.584158261371526E-2</v>
      </c>
      <c r="L369" s="250">
        <v>5.0120550555121803E-2</v>
      </c>
      <c r="M369" s="250">
        <v>8.0388252862120452E-2</v>
      </c>
      <c r="N369" s="250">
        <v>7.9669762641898859E-2</v>
      </c>
      <c r="O369" s="249">
        <v>6.1195316058054561E-2</v>
      </c>
      <c r="P369" s="249">
        <v>0</v>
      </c>
      <c r="Q369" s="250">
        <v>0</v>
      </c>
      <c r="R369" s="252">
        <v>0</v>
      </c>
      <c r="S369" s="15"/>
      <c r="T369" s="15"/>
      <c r="U369" s="15"/>
      <c r="V369" s="15"/>
    </row>
    <row r="370" spans="1:22">
      <c r="A370" s="253"/>
      <c r="B370" s="254" t="s">
        <v>95</v>
      </c>
      <c r="C370" s="255">
        <v>1.1159139757221026E-2</v>
      </c>
      <c r="D370" s="256">
        <v>0</v>
      </c>
      <c r="E370" s="256">
        <v>7.5006415588933844E-3</v>
      </c>
      <c r="F370" s="256">
        <v>0</v>
      </c>
      <c r="G370" s="256">
        <v>8.9279739178928404E-3</v>
      </c>
      <c r="H370" s="256">
        <v>1.7561215503734118E-2</v>
      </c>
      <c r="I370" s="256">
        <v>0</v>
      </c>
      <c r="J370" s="257">
        <v>9.9339314884046553E-3</v>
      </c>
      <c r="K370" s="255">
        <v>5.7591899559365001E-2</v>
      </c>
      <c r="L370" s="256">
        <v>5.0636496707619383E-2</v>
      </c>
      <c r="M370" s="256">
        <v>8.1342973489570342E-2</v>
      </c>
      <c r="N370" s="256">
        <v>8.2446392760957041E-2</v>
      </c>
      <c r="O370" s="255">
        <v>6.2166052778813874E-2</v>
      </c>
      <c r="P370" s="255">
        <v>0</v>
      </c>
      <c r="Q370" s="256">
        <v>0</v>
      </c>
      <c r="R370" s="258">
        <v>0</v>
      </c>
      <c r="S370" s="15"/>
      <c r="T370" s="15"/>
      <c r="U370" s="15"/>
      <c r="V370" s="15"/>
    </row>
    <row r="371" spans="1:22">
      <c r="A371" s="253"/>
      <c r="B371" s="317" t="s">
        <v>96</v>
      </c>
      <c r="C371" s="318">
        <v>0.54953242758725562</v>
      </c>
      <c r="D371" s="319">
        <v>0</v>
      </c>
      <c r="E371" s="319">
        <v>0.41164489455816422</v>
      </c>
      <c r="F371" s="319">
        <v>0</v>
      </c>
      <c r="G371" s="319">
        <v>0.22380209921716732</v>
      </c>
      <c r="H371" s="319">
        <v>0.18578800987206523</v>
      </c>
      <c r="I371" s="319">
        <v>0</v>
      </c>
      <c r="J371" s="320">
        <v>0.37325736924197128</v>
      </c>
      <c r="K371" s="318">
        <v>0.17503169456497408</v>
      </c>
      <c r="L371" s="319">
        <v>5.159461524975803E-2</v>
      </c>
      <c r="M371" s="319">
        <v>9.5472062744988984E-2</v>
      </c>
      <c r="N371" s="319">
        <v>0.27766301190581821</v>
      </c>
      <c r="O371" s="318">
        <v>9.7073672075931317E-2</v>
      </c>
      <c r="P371" s="321">
        <v>0</v>
      </c>
      <c r="Q371" s="319">
        <v>0</v>
      </c>
      <c r="R371" s="322">
        <v>0</v>
      </c>
      <c r="S371" s="15"/>
      <c r="T371" s="15"/>
      <c r="U371" s="15"/>
      <c r="V371" s="15"/>
    </row>
    <row r="372" spans="1:22">
      <c r="A372" s="253"/>
      <c r="B372" s="234" t="s">
        <v>97</v>
      </c>
      <c r="C372" s="249">
        <v>9.4953762256272958E-2</v>
      </c>
      <c r="D372" s="250">
        <v>0</v>
      </c>
      <c r="E372" s="250">
        <v>7.6122426804347748E-2</v>
      </c>
      <c r="F372" s="250">
        <v>0</v>
      </c>
      <c r="G372" s="250">
        <v>0.10211971098582298</v>
      </c>
      <c r="H372" s="250">
        <v>0.19100298913847702</v>
      </c>
      <c r="I372" s="250">
        <v>0</v>
      </c>
      <c r="J372" s="251">
        <v>0.1001771507888071</v>
      </c>
      <c r="K372" s="249">
        <v>0.19171483622350674</v>
      </c>
      <c r="L372" s="250">
        <v>0.17326134672893065</v>
      </c>
      <c r="M372" s="250">
        <v>7.9419398421389467E-2</v>
      </c>
      <c r="N372" s="250">
        <v>0.20813703055592947</v>
      </c>
      <c r="O372" s="249">
        <v>0.1792268230435802</v>
      </c>
      <c r="P372" s="249">
        <v>0</v>
      </c>
      <c r="Q372" s="250">
        <v>0</v>
      </c>
      <c r="R372" s="252">
        <v>0</v>
      </c>
      <c r="S372" s="15"/>
      <c r="T372" s="15"/>
      <c r="U372" s="15"/>
      <c r="V372" s="15"/>
    </row>
    <row r="373" spans="1:22">
      <c r="A373" s="253"/>
      <c r="B373" s="254" t="s">
        <v>98</v>
      </c>
      <c r="C373" s="255">
        <v>0.11215865537799076</v>
      </c>
      <c r="D373" s="256">
        <v>0</v>
      </c>
      <c r="E373" s="256">
        <v>0.10736337379029549</v>
      </c>
      <c r="F373" s="256">
        <v>0</v>
      </c>
      <c r="G373" s="256">
        <v>0.11579426022049676</v>
      </c>
      <c r="H373" s="256">
        <v>0.18052426318377804</v>
      </c>
      <c r="I373" s="256">
        <v>0</v>
      </c>
      <c r="J373" s="257">
        <v>0.11815999009158375</v>
      </c>
      <c r="K373" s="255">
        <v>0.21759371038812098</v>
      </c>
      <c r="L373" s="256">
        <v>0.19492116867049455</v>
      </c>
      <c r="M373" s="256">
        <v>0.10046538685282141</v>
      </c>
      <c r="N373" s="256">
        <v>0.23358508599936578</v>
      </c>
      <c r="O373" s="255">
        <v>0.20189003636702724</v>
      </c>
      <c r="P373" s="255">
        <v>0</v>
      </c>
      <c r="Q373" s="256">
        <v>0</v>
      </c>
      <c r="R373" s="258">
        <v>0</v>
      </c>
      <c r="S373" s="15"/>
      <c r="T373" s="15"/>
      <c r="U373" s="15"/>
      <c r="V373" s="15"/>
    </row>
    <row r="374" spans="1:22">
      <c r="A374" s="253"/>
      <c r="B374" s="317" t="s">
        <v>99</v>
      </c>
      <c r="C374" s="318">
        <v>1.7204893121717801</v>
      </c>
      <c r="D374" s="319">
        <v>0</v>
      </c>
      <c r="E374" s="319">
        <v>3.1240946985947744</v>
      </c>
      <c r="F374" s="319">
        <v>0</v>
      </c>
      <c r="G374" s="319">
        <v>1.3674549234673774</v>
      </c>
      <c r="H374" s="319">
        <v>-1.0478725954698982</v>
      </c>
      <c r="I374" s="319">
        <v>0</v>
      </c>
      <c r="J374" s="320">
        <v>1.7982839302776652</v>
      </c>
      <c r="K374" s="318">
        <v>2.5878874164614234</v>
      </c>
      <c r="L374" s="319">
        <v>2.1659821941563906</v>
      </c>
      <c r="M374" s="319">
        <v>2.1045988431431946</v>
      </c>
      <c r="N374" s="319">
        <v>2.5448055443436313</v>
      </c>
      <c r="O374" s="318">
        <v>2.2663213323447033</v>
      </c>
      <c r="P374" s="321">
        <v>0</v>
      </c>
      <c r="Q374" s="319">
        <v>0</v>
      </c>
      <c r="R374" s="322">
        <v>0</v>
      </c>
      <c r="S374" s="15"/>
      <c r="T374" s="15"/>
      <c r="U374" s="15"/>
      <c r="V374" s="15"/>
    </row>
    <row r="375" spans="1:22">
      <c r="A375" s="253"/>
      <c r="B375" s="234" t="s">
        <v>100</v>
      </c>
      <c r="C375" s="249">
        <v>2.9580020592245105E-4</v>
      </c>
      <c r="D375" s="250">
        <v>0</v>
      </c>
      <c r="E375" s="250">
        <v>1.9716295649796528E-3</v>
      </c>
      <c r="F375" s="250">
        <v>0</v>
      </c>
      <c r="G375" s="250">
        <v>4.4960041600525483E-2</v>
      </c>
      <c r="H375" s="250">
        <v>1.8982509100594867E-2</v>
      </c>
      <c r="I375" s="250">
        <v>0</v>
      </c>
      <c r="J375" s="251">
        <v>1.6619768515768039E-2</v>
      </c>
      <c r="K375" s="249">
        <v>1.2699601382290765E-2</v>
      </c>
      <c r="L375" s="250">
        <v>4.9595136730354674E-4</v>
      </c>
      <c r="M375" s="250">
        <v>0.13517741591410085</v>
      </c>
      <c r="N375" s="250">
        <v>5.0480100507022028E-2</v>
      </c>
      <c r="O375" s="249">
        <v>2.5391811817390589E-2</v>
      </c>
      <c r="P375" s="249">
        <v>0</v>
      </c>
      <c r="Q375" s="250">
        <v>0</v>
      </c>
      <c r="R375" s="252">
        <v>0</v>
      </c>
      <c r="S375" s="15"/>
      <c r="T375" s="15"/>
      <c r="U375" s="15"/>
      <c r="V375" s="15"/>
    </row>
    <row r="376" spans="1:22">
      <c r="A376" s="253"/>
      <c r="B376" s="254" t="s">
        <v>101</v>
      </c>
      <c r="C376" s="255">
        <v>5.8199177476181614E-4</v>
      </c>
      <c r="D376" s="256">
        <v>0</v>
      </c>
      <c r="E376" s="256">
        <v>2.0615999875993984E-3</v>
      </c>
      <c r="F376" s="256">
        <v>0</v>
      </c>
      <c r="G376" s="256">
        <v>5.0223499635365279E-2</v>
      </c>
      <c r="H376" s="256">
        <v>1.5599803286938024E-2</v>
      </c>
      <c r="I376" s="256">
        <v>0</v>
      </c>
      <c r="J376" s="257">
        <v>1.7812823425537243E-2</v>
      </c>
      <c r="K376" s="255">
        <v>1.9504134725659445E-2</v>
      </c>
      <c r="L376" s="256">
        <v>1.9147017370536705E-4</v>
      </c>
      <c r="M376" s="256">
        <v>0.13025845591290616</v>
      </c>
      <c r="N376" s="256">
        <v>4.9723756906077346E-2</v>
      </c>
      <c r="O376" s="255">
        <v>2.5223214285714286E-2</v>
      </c>
      <c r="P376" s="255">
        <v>0</v>
      </c>
      <c r="Q376" s="256">
        <v>0</v>
      </c>
      <c r="R376" s="258">
        <v>0</v>
      </c>
      <c r="S376" s="15"/>
      <c r="T376" s="15"/>
      <c r="U376" s="15"/>
      <c r="V376" s="15"/>
    </row>
    <row r="377" spans="1:22">
      <c r="A377" s="253"/>
      <c r="B377" s="317" t="s">
        <v>102</v>
      </c>
      <c r="C377" s="318">
        <v>2.8619156883936507E-2</v>
      </c>
      <c r="D377" s="319">
        <v>0</v>
      </c>
      <c r="E377" s="319">
        <v>8.9970422619745603E-3</v>
      </c>
      <c r="F377" s="319">
        <v>0</v>
      </c>
      <c r="G377" s="319">
        <v>0.52634580348397964</v>
      </c>
      <c r="H377" s="319">
        <v>-0.33827058136568433</v>
      </c>
      <c r="I377" s="319">
        <v>0</v>
      </c>
      <c r="J377" s="320">
        <v>0.11930549097692034</v>
      </c>
      <c r="K377" s="318">
        <v>0.68045333433686805</v>
      </c>
      <c r="L377" s="319">
        <v>-3.044811935981797E-2</v>
      </c>
      <c r="M377" s="319">
        <v>-0.49189600011946832</v>
      </c>
      <c r="N377" s="319">
        <v>-7.563436009446825E-2</v>
      </c>
      <c r="O377" s="318">
        <v>-1.6859753167630318E-2</v>
      </c>
      <c r="P377" s="321">
        <v>0</v>
      </c>
      <c r="Q377" s="319">
        <v>0</v>
      </c>
      <c r="R377" s="322">
        <v>0</v>
      </c>
      <c r="S377" s="15"/>
      <c r="T377" s="15"/>
      <c r="U377" s="15"/>
      <c r="V377" s="15"/>
    </row>
    <row r="378" spans="1:22">
      <c r="A378" s="253"/>
      <c r="B378" s="234" t="s">
        <v>103</v>
      </c>
      <c r="C378" s="249">
        <v>1.24387778900723E-3</v>
      </c>
      <c r="D378" s="250">
        <v>0</v>
      </c>
      <c r="E378" s="250">
        <v>3.151102184740814E-3</v>
      </c>
      <c r="F378" s="250">
        <v>0</v>
      </c>
      <c r="G378" s="250">
        <v>1.7194427719086979E-2</v>
      </c>
      <c r="H378" s="250">
        <v>0</v>
      </c>
      <c r="I378" s="250">
        <v>0</v>
      </c>
      <c r="J378" s="251">
        <v>6.7544139171387988E-3</v>
      </c>
      <c r="K378" s="249">
        <v>1.1529490689819257E-2</v>
      </c>
      <c r="L378" s="250">
        <v>3.8853615780092216E-3</v>
      </c>
      <c r="M378" s="250">
        <v>3.2265519448197396E-3</v>
      </c>
      <c r="N378" s="250">
        <v>5.5788127608022611E-2</v>
      </c>
      <c r="O378" s="249">
        <v>1.9242879747806627E-2</v>
      </c>
      <c r="P378" s="249">
        <v>0</v>
      </c>
      <c r="Q378" s="250">
        <v>0</v>
      </c>
      <c r="R378" s="252">
        <v>0</v>
      </c>
      <c r="S378" s="15"/>
      <c r="T378" s="15"/>
      <c r="U378" s="15"/>
      <c r="V378" s="15"/>
    </row>
    <row r="379" spans="1:22">
      <c r="A379" s="253"/>
      <c r="B379" s="254" t="s">
        <v>104</v>
      </c>
      <c r="C379" s="255">
        <v>1.2081854564675678E-3</v>
      </c>
      <c r="D379" s="256">
        <v>0</v>
      </c>
      <c r="E379" s="256">
        <v>6.3105282828439403E-3</v>
      </c>
      <c r="F379" s="256">
        <v>0</v>
      </c>
      <c r="G379" s="256">
        <v>9.713868988889365E-3</v>
      </c>
      <c r="H379" s="256">
        <v>0</v>
      </c>
      <c r="I379" s="256">
        <v>0</v>
      </c>
      <c r="J379" s="257">
        <v>5.3055741751801616E-3</v>
      </c>
      <c r="K379" s="255">
        <v>0</v>
      </c>
      <c r="L379" s="256">
        <v>7.2086820960659104E-2</v>
      </c>
      <c r="M379" s="256">
        <v>2.9668411867364748E-3</v>
      </c>
      <c r="N379" s="256">
        <v>5.6715811288226281E-2</v>
      </c>
      <c r="O379" s="255">
        <v>5.2091686870570683E-2</v>
      </c>
      <c r="P379" s="255">
        <v>0</v>
      </c>
      <c r="Q379" s="256">
        <v>0</v>
      </c>
      <c r="R379" s="258">
        <v>0</v>
      </c>
      <c r="S379" s="15"/>
      <c r="T379" s="15"/>
      <c r="U379" s="15"/>
      <c r="V379" s="15"/>
    </row>
    <row r="380" spans="1:22">
      <c r="A380" s="253"/>
      <c r="B380" s="317" t="s">
        <v>105</v>
      </c>
      <c r="C380" s="318">
        <v>-3.5692332539662185E-3</v>
      </c>
      <c r="D380" s="319">
        <v>0</v>
      </c>
      <c r="E380" s="319">
        <v>0.31594260981031264</v>
      </c>
      <c r="F380" s="319">
        <v>0</v>
      </c>
      <c r="G380" s="319">
        <v>-0.7480558730197614</v>
      </c>
      <c r="H380" s="319">
        <v>0</v>
      </c>
      <c r="I380" s="319">
        <v>0</v>
      </c>
      <c r="J380" s="320">
        <v>-0.14488397419586374</v>
      </c>
      <c r="K380" s="318">
        <v>-1.1529490689819257</v>
      </c>
      <c r="L380" s="331">
        <v>6.8201459382649876</v>
      </c>
      <c r="M380" s="319">
        <v>-2.5971075808326478E-2</v>
      </c>
      <c r="N380" s="319">
        <v>9.2768368020366976E-2</v>
      </c>
      <c r="O380" s="318">
        <v>3.2848807122764057</v>
      </c>
      <c r="P380" s="321">
        <v>0</v>
      </c>
      <c r="Q380" s="319">
        <v>0</v>
      </c>
      <c r="R380" s="322">
        <v>0</v>
      </c>
      <c r="S380" s="15"/>
      <c r="T380" s="15"/>
      <c r="U380" s="15"/>
      <c r="V380" s="15"/>
    </row>
    <row r="381" spans="1:22">
      <c r="A381" s="253"/>
      <c r="B381" s="234" t="s">
        <v>106</v>
      </c>
      <c r="C381" s="249">
        <v>0</v>
      </c>
      <c r="D381" s="250">
        <v>0</v>
      </c>
      <c r="E381" s="250">
        <v>0</v>
      </c>
      <c r="F381" s="250">
        <v>0</v>
      </c>
      <c r="G381" s="250">
        <v>0</v>
      </c>
      <c r="H381" s="250">
        <v>0</v>
      </c>
      <c r="I381" s="250">
        <v>0</v>
      </c>
      <c r="J381" s="251">
        <v>0</v>
      </c>
      <c r="K381" s="249">
        <v>0</v>
      </c>
      <c r="L381" s="250">
        <v>1.9172694194422756E-2</v>
      </c>
      <c r="M381" s="250">
        <v>7.4664011946241914E-4</v>
      </c>
      <c r="N381" s="250">
        <v>0</v>
      </c>
      <c r="O381" s="249">
        <v>9.6377052661816096E-3</v>
      </c>
      <c r="P381" s="249">
        <v>0</v>
      </c>
      <c r="Q381" s="250">
        <v>0</v>
      </c>
      <c r="R381" s="252">
        <v>0</v>
      </c>
      <c r="S381" s="15"/>
      <c r="T381" s="15"/>
      <c r="U381" s="15"/>
      <c r="V381" s="15"/>
    </row>
    <row r="382" spans="1:22">
      <c r="A382" s="253"/>
      <c r="B382" s="254" t="s">
        <v>107</v>
      </c>
      <c r="C382" s="255">
        <v>1.036903067059818E-3</v>
      </c>
      <c r="D382" s="256">
        <v>0</v>
      </c>
      <c r="E382" s="256">
        <v>0</v>
      </c>
      <c r="F382" s="256">
        <v>0</v>
      </c>
      <c r="G382" s="256">
        <v>0</v>
      </c>
      <c r="H382" s="256">
        <v>0</v>
      </c>
      <c r="I382" s="256">
        <v>0</v>
      </c>
      <c r="J382" s="257">
        <v>2.9927244370568391E-4</v>
      </c>
      <c r="K382" s="255">
        <v>2.7539687330234804E-4</v>
      </c>
      <c r="L382" s="256">
        <v>4.7697599485183154E-4</v>
      </c>
      <c r="M382" s="256">
        <v>0</v>
      </c>
      <c r="N382" s="256">
        <v>0</v>
      </c>
      <c r="O382" s="255">
        <v>2.8790563222678105E-4</v>
      </c>
      <c r="P382" s="255">
        <v>0</v>
      </c>
      <c r="Q382" s="256">
        <v>0</v>
      </c>
      <c r="R382" s="258">
        <v>0</v>
      </c>
      <c r="S382" s="15"/>
      <c r="T382" s="15"/>
      <c r="U382" s="15"/>
      <c r="V382" s="15"/>
    </row>
    <row r="383" spans="1:22">
      <c r="A383" s="253"/>
      <c r="B383" s="317" t="s">
        <v>108</v>
      </c>
      <c r="C383" s="318">
        <v>0</v>
      </c>
      <c r="D383" s="319">
        <v>0</v>
      </c>
      <c r="E383" s="319">
        <v>0</v>
      </c>
      <c r="F383" s="319">
        <v>0</v>
      </c>
      <c r="G383" s="319">
        <v>0</v>
      </c>
      <c r="H383" s="319">
        <v>0</v>
      </c>
      <c r="I383" s="319">
        <v>0</v>
      </c>
      <c r="J383" s="320">
        <v>0</v>
      </c>
      <c r="K383" s="318">
        <v>0</v>
      </c>
      <c r="L383" s="319">
        <v>-1.8695718199570925</v>
      </c>
      <c r="M383" s="319">
        <v>-7.4664011946241921E-2</v>
      </c>
      <c r="N383" s="319">
        <v>0</v>
      </c>
      <c r="O383" s="318">
        <v>-0.93497996339548284</v>
      </c>
      <c r="P383" s="321">
        <v>0</v>
      </c>
      <c r="Q383" s="319">
        <v>0</v>
      </c>
      <c r="R383" s="322">
        <v>0</v>
      </c>
      <c r="S383" s="15"/>
      <c r="T383" s="15"/>
      <c r="U383" s="15"/>
      <c r="V383" s="15"/>
    </row>
    <row r="384" spans="1:22">
      <c r="A384" s="253"/>
      <c r="B384" s="234" t="s">
        <v>109</v>
      </c>
      <c r="C384" s="249">
        <v>0.73628050430171532</v>
      </c>
      <c r="D384" s="250">
        <v>0</v>
      </c>
      <c r="E384" s="250">
        <v>0.88306174689392525</v>
      </c>
      <c r="F384" s="250">
        <v>0</v>
      </c>
      <c r="G384" s="250">
        <v>0.56571077198278275</v>
      </c>
      <c r="H384" s="250">
        <v>0</v>
      </c>
      <c r="I384" s="250">
        <v>0</v>
      </c>
      <c r="J384" s="251">
        <v>0.72545757071547423</v>
      </c>
      <c r="K384" s="249">
        <v>0</v>
      </c>
      <c r="L384" s="250">
        <v>0</v>
      </c>
      <c r="M384" s="250">
        <v>0</v>
      </c>
      <c r="N384" s="250">
        <v>0</v>
      </c>
      <c r="O384" s="249">
        <v>0</v>
      </c>
      <c r="P384" s="249">
        <v>0</v>
      </c>
      <c r="Q384" s="250">
        <v>0</v>
      </c>
      <c r="R384" s="252">
        <v>0</v>
      </c>
      <c r="S384" s="15"/>
      <c r="T384" s="15"/>
      <c r="U384" s="15"/>
      <c r="V384" s="15"/>
    </row>
    <row r="385" spans="1:22">
      <c r="A385" s="253"/>
      <c r="B385" s="254" t="s">
        <v>110</v>
      </c>
      <c r="C385" s="255">
        <v>0.61454221316694257</v>
      </c>
      <c r="D385" s="256">
        <v>0</v>
      </c>
      <c r="E385" s="256">
        <v>0.88183261510546607</v>
      </c>
      <c r="F385" s="256">
        <v>0</v>
      </c>
      <c r="G385" s="256">
        <v>0.59458685378777032</v>
      </c>
      <c r="H385" s="256">
        <v>0</v>
      </c>
      <c r="I385" s="256">
        <v>0</v>
      </c>
      <c r="J385" s="257">
        <v>0.6742027905477872</v>
      </c>
      <c r="K385" s="255">
        <v>0</v>
      </c>
      <c r="L385" s="256">
        <v>0</v>
      </c>
      <c r="M385" s="256">
        <v>0</v>
      </c>
      <c r="N385" s="256">
        <v>0</v>
      </c>
      <c r="O385" s="255">
        <v>0</v>
      </c>
      <c r="P385" s="255">
        <v>0</v>
      </c>
      <c r="Q385" s="256">
        <v>0</v>
      </c>
      <c r="R385" s="258">
        <v>0</v>
      </c>
      <c r="S385" s="15"/>
      <c r="T385" s="15"/>
      <c r="U385" s="15"/>
      <c r="V385" s="15"/>
    </row>
    <row r="386" spans="1:22">
      <c r="A386" s="253"/>
      <c r="B386" s="317" t="s">
        <v>111</v>
      </c>
      <c r="C386" s="332">
        <v>-12.173829113477275</v>
      </c>
      <c r="D386" s="319">
        <v>0</v>
      </c>
      <c r="E386" s="319">
        <v>-0.12291317884591813</v>
      </c>
      <c r="F386" s="319">
        <v>0</v>
      </c>
      <c r="G386" s="319">
        <v>2.8876081804987574</v>
      </c>
      <c r="H386" s="319">
        <v>0</v>
      </c>
      <c r="I386" s="319">
        <v>0</v>
      </c>
      <c r="J386" s="320">
        <v>-5.1254780167687031</v>
      </c>
      <c r="K386" s="318">
        <v>0</v>
      </c>
      <c r="L386" s="319">
        <v>0</v>
      </c>
      <c r="M386" s="319">
        <v>0</v>
      </c>
      <c r="N386" s="319">
        <v>0</v>
      </c>
      <c r="O386" s="318">
        <v>0</v>
      </c>
      <c r="P386" s="321">
        <v>0</v>
      </c>
      <c r="Q386" s="319">
        <v>0</v>
      </c>
      <c r="R386" s="322">
        <v>0</v>
      </c>
      <c r="S386" s="15"/>
      <c r="T386" s="15"/>
      <c r="U386" s="15"/>
      <c r="V386" s="15"/>
    </row>
    <row r="387" spans="1:22">
      <c r="A387" s="253"/>
      <c r="B387" s="234" t="s">
        <v>112</v>
      </c>
      <c r="C387" s="249">
        <v>0.13605324387208484</v>
      </c>
      <c r="D387" s="250">
        <v>0</v>
      </c>
      <c r="E387" s="250">
        <v>4.0415391979355265E-2</v>
      </c>
      <c r="F387" s="250">
        <v>0</v>
      </c>
      <c r="G387" s="250">
        <v>1.3565133135819031E-2</v>
      </c>
      <c r="H387" s="250">
        <v>0</v>
      </c>
      <c r="I387" s="250">
        <v>0</v>
      </c>
      <c r="J387" s="251">
        <v>7.8517228767327932E-2</v>
      </c>
      <c r="K387" s="249">
        <v>0</v>
      </c>
      <c r="L387" s="250">
        <v>0</v>
      </c>
      <c r="M387" s="250">
        <v>0</v>
      </c>
      <c r="N387" s="250">
        <v>0</v>
      </c>
      <c r="O387" s="249">
        <v>0</v>
      </c>
      <c r="P387" s="249">
        <v>0</v>
      </c>
      <c r="Q387" s="250">
        <v>0</v>
      </c>
      <c r="R387" s="252">
        <v>0</v>
      </c>
      <c r="S387" s="15"/>
      <c r="T387" s="15"/>
      <c r="U387" s="15"/>
      <c r="V387" s="15"/>
    </row>
    <row r="388" spans="1:22">
      <c r="A388" s="253"/>
      <c r="B388" s="254" t="s">
        <v>113</v>
      </c>
      <c r="C388" s="255">
        <v>0.20974998938834416</v>
      </c>
      <c r="D388" s="256">
        <v>0</v>
      </c>
      <c r="E388" s="256">
        <v>1.4639477102620672E-3</v>
      </c>
      <c r="F388" s="256">
        <v>0</v>
      </c>
      <c r="G388" s="256">
        <v>8.4848918802806813E-3</v>
      </c>
      <c r="H388" s="256">
        <v>0</v>
      </c>
      <c r="I388" s="256">
        <v>0</v>
      </c>
      <c r="J388" s="257">
        <v>0.10227141123570613</v>
      </c>
      <c r="K388" s="255">
        <v>0</v>
      </c>
      <c r="L388" s="256">
        <v>0</v>
      </c>
      <c r="M388" s="256">
        <v>0</v>
      </c>
      <c r="N388" s="256">
        <v>0</v>
      </c>
      <c r="O388" s="255">
        <v>0</v>
      </c>
      <c r="P388" s="255">
        <v>0</v>
      </c>
      <c r="Q388" s="256">
        <v>0</v>
      </c>
      <c r="R388" s="258">
        <v>0</v>
      </c>
      <c r="S388" s="15"/>
      <c r="T388" s="15"/>
      <c r="U388" s="15"/>
      <c r="V388" s="15"/>
    </row>
    <row r="389" spans="1:22">
      <c r="A389" s="253"/>
      <c r="B389" s="317" t="s">
        <v>114</v>
      </c>
      <c r="C389" s="332">
        <v>7.3696745516259323</v>
      </c>
      <c r="D389" s="319">
        <v>0</v>
      </c>
      <c r="E389" s="319">
        <v>-3.8951444269093201</v>
      </c>
      <c r="F389" s="319">
        <v>0</v>
      </c>
      <c r="G389" s="319">
        <v>-0.50802412555383503</v>
      </c>
      <c r="H389" s="319">
        <v>0</v>
      </c>
      <c r="I389" s="319">
        <v>0</v>
      </c>
      <c r="J389" s="320">
        <v>2.3754182468378198</v>
      </c>
      <c r="K389" s="318">
        <v>0</v>
      </c>
      <c r="L389" s="319">
        <v>0</v>
      </c>
      <c r="M389" s="319">
        <v>0</v>
      </c>
      <c r="N389" s="319">
        <v>0</v>
      </c>
      <c r="O389" s="318">
        <v>0</v>
      </c>
      <c r="P389" s="321">
        <v>0</v>
      </c>
      <c r="Q389" s="319">
        <v>0</v>
      </c>
      <c r="R389" s="322">
        <v>0</v>
      </c>
      <c r="S389" s="15"/>
      <c r="T389" s="15"/>
      <c r="U389" s="15"/>
      <c r="V389" s="15"/>
    </row>
    <row r="390" spans="1:22">
      <c r="A390" s="253"/>
      <c r="B390" s="234" t="s">
        <v>115</v>
      </c>
      <c r="C390" s="249">
        <v>0.11123856934148585</v>
      </c>
      <c r="D390" s="250">
        <v>0</v>
      </c>
      <c r="E390" s="250">
        <v>3.987430022268007E-2</v>
      </c>
      <c r="F390" s="250">
        <v>0</v>
      </c>
      <c r="G390" s="250">
        <v>0.26096111204278233</v>
      </c>
      <c r="H390" s="250">
        <v>0</v>
      </c>
      <c r="I390" s="250">
        <v>0</v>
      </c>
      <c r="J390" s="251">
        <v>0.1349659751806844</v>
      </c>
      <c r="K390" s="249">
        <v>0</v>
      </c>
      <c r="L390" s="250">
        <v>0</v>
      </c>
      <c r="M390" s="250">
        <v>0</v>
      </c>
      <c r="N390" s="250">
        <v>0</v>
      </c>
      <c r="O390" s="249">
        <v>0</v>
      </c>
      <c r="P390" s="249">
        <v>0</v>
      </c>
      <c r="Q390" s="250">
        <v>0</v>
      </c>
      <c r="R390" s="252">
        <v>0</v>
      </c>
      <c r="S390" s="15"/>
      <c r="T390" s="15"/>
      <c r="U390" s="15"/>
      <c r="V390" s="15"/>
    </row>
    <row r="391" spans="1:22">
      <c r="A391" s="253"/>
      <c r="B391" s="254" t="s">
        <v>116</v>
      </c>
      <c r="C391" s="255">
        <v>0.14515684027335626</v>
      </c>
      <c r="D391" s="256">
        <v>0</v>
      </c>
      <c r="E391" s="256">
        <v>6.6434359471329307E-2</v>
      </c>
      <c r="F391" s="256">
        <v>0</v>
      </c>
      <c r="G391" s="256">
        <v>0.24054847486753544</v>
      </c>
      <c r="H391" s="256">
        <v>0</v>
      </c>
      <c r="I391" s="256">
        <v>0</v>
      </c>
      <c r="J391" s="257">
        <v>0.15276511966324099</v>
      </c>
      <c r="K391" s="255">
        <v>0</v>
      </c>
      <c r="L391" s="256">
        <v>0</v>
      </c>
      <c r="M391" s="256">
        <v>0</v>
      </c>
      <c r="N391" s="256">
        <v>0</v>
      </c>
      <c r="O391" s="255">
        <v>0</v>
      </c>
      <c r="P391" s="255">
        <v>0</v>
      </c>
      <c r="Q391" s="256">
        <v>0</v>
      </c>
      <c r="R391" s="258">
        <v>0</v>
      </c>
      <c r="S391" s="15"/>
      <c r="T391" s="15"/>
      <c r="U391" s="15"/>
      <c r="V391" s="15"/>
    </row>
    <row r="392" spans="1:22">
      <c r="A392" s="253"/>
      <c r="B392" s="317" t="s">
        <v>117</v>
      </c>
      <c r="C392" s="318">
        <v>3.3918270931870413</v>
      </c>
      <c r="D392" s="319">
        <v>0</v>
      </c>
      <c r="E392" s="319">
        <v>2.6560059248649237</v>
      </c>
      <c r="F392" s="319">
        <v>0</v>
      </c>
      <c r="G392" s="319">
        <v>-2.0412637175246884</v>
      </c>
      <c r="H392" s="319">
        <v>0</v>
      </c>
      <c r="I392" s="319">
        <v>0</v>
      </c>
      <c r="J392" s="320">
        <v>1.7799144482556595</v>
      </c>
      <c r="K392" s="318">
        <v>0</v>
      </c>
      <c r="L392" s="319">
        <v>0</v>
      </c>
      <c r="M392" s="319">
        <v>0</v>
      </c>
      <c r="N392" s="319">
        <v>0</v>
      </c>
      <c r="O392" s="318">
        <v>0</v>
      </c>
      <c r="P392" s="321">
        <v>0</v>
      </c>
      <c r="Q392" s="319">
        <v>0</v>
      </c>
      <c r="R392" s="322">
        <v>0</v>
      </c>
      <c r="S392" s="15"/>
      <c r="T392" s="15"/>
      <c r="U392" s="15"/>
      <c r="V392" s="15"/>
    </row>
    <row r="393" spans="1:22">
      <c r="A393" s="253"/>
      <c r="B393" s="234" t="s">
        <v>118</v>
      </c>
      <c r="C393" s="249">
        <v>2.4349331746117632E-3</v>
      </c>
      <c r="D393" s="250">
        <v>0</v>
      </c>
      <c r="E393" s="250">
        <v>1.3985140787912843E-2</v>
      </c>
      <c r="F393" s="250">
        <v>0</v>
      </c>
      <c r="G393" s="250">
        <v>0.1423779976521885</v>
      </c>
      <c r="H393" s="250">
        <v>0</v>
      </c>
      <c r="I393" s="250">
        <v>0</v>
      </c>
      <c r="J393" s="251">
        <v>4.398242351498792E-2</v>
      </c>
      <c r="K393" s="249">
        <v>0</v>
      </c>
      <c r="L393" s="250">
        <v>0</v>
      </c>
      <c r="M393" s="250">
        <v>0</v>
      </c>
      <c r="N393" s="250">
        <v>0</v>
      </c>
      <c r="O393" s="249">
        <v>0</v>
      </c>
      <c r="P393" s="249">
        <v>0</v>
      </c>
      <c r="Q393" s="250">
        <v>0</v>
      </c>
      <c r="R393" s="252">
        <v>0</v>
      </c>
      <c r="S393" s="15"/>
      <c r="T393" s="15"/>
      <c r="U393" s="15"/>
      <c r="V393" s="15"/>
    </row>
    <row r="394" spans="1:22">
      <c r="A394" s="253"/>
      <c r="B394" s="254" t="s">
        <v>119</v>
      </c>
      <c r="C394" s="255">
        <v>6.0486438303832928E-3</v>
      </c>
      <c r="D394" s="256">
        <v>0</v>
      </c>
      <c r="E394" s="256">
        <v>1.0020825171653024E-2</v>
      </c>
      <c r="F394" s="256">
        <v>0</v>
      </c>
      <c r="G394" s="256">
        <v>0.143598739796649</v>
      </c>
      <c r="H394" s="256">
        <v>0</v>
      </c>
      <c r="I394" s="256">
        <v>0</v>
      </c>
      <c r="J394" s="257">
        <v>4.5710199950654333E-2</v>
      </c>
      <c r="K394" s="255">
        <v>0</v>
      </c>
      <c r="L394" s="256">
        <v>0</v>
      </c>
      <c r="M394" s="256">
        <v>0</v>
      </c>
      <c r="N394" s="256">
        <v>0</v>
      </c>
      <c r="O394" s="255">
        <v>0</v>
      </c>
      <c r="P394" s="255">
        <v>0</v>
      </c>
      <c r="Q394" s="256">
        <v>0</v>
      </c>
      <c r="R394" s="258">
        <v>0</v>
      </c>
      <c r="S394" s="15"/>
      <c r="T394" s="15"/>
      <c r="U394" s="15"/>
      <c r="V394" s="15"/>
    </row>
    <row r="395" spans="1:22">
      <c r="A395" s="253"/>
      <c r="B395" s="317" t="s">
        <v>120</v>
      </c>
      <c r="C395" s="318">
        <v>0.36137106557715293</v>
      </c>
      <c r="D395" s="319">
        <v>0</v>
      </c>
      <c r="E395" s="319">
        <v>-0.39643156162598187</v>
      </c>
      <c r="F395" s="319">
        <v>0</v>
      </c>
      <c r="G395" s="319">
        <v>0.1220742144460496</v>
      </c>
      <c r="H395" s="319">
        <v>0</v>
      </c>
      <c r="I395" s="319">
        <v>0</v>
      </c>
      <c r="J395" s="320">
        <v>0.1727776435666413</v>
      </c>
      <c r="K395" s="318">
        <v>0</v>
      </c>
      <c r="L395" s="319">
        <v>0</v>
      </c>
      <c r="M395" s="319">
        <v>0</v>
      </c>
      <c r="N395" s="319">
        <v>0</v>
      </c>
      <c r="O395" s="318">
        <v>0</v>
      </c>
      <c r="P395" s="321">
        <v>0</v>
      </c>
      <c r="Q395" s="319">
        <v>0</v>
      </c>
      <c r="R395" s="322">
        <v>0</v>
      </c>
      <c r="S395" s="15"/>
      <c r="T395" s="15"/>
      <c r="U395" s="15"/>
      <c r="V395" s="15"/>
    </row>
    <row r="396" spans="1:22">
      <c r="A396" s="253"/>
      <c r="B396" s="234" t="s">
        <v>121</v>
      </c>
      <c r="C396" s="249">
        <v>1.3808776581353823E-2</v>
      </c>
      <c r="D396" s="250">
        <v>0</v>
      </c>
      <c r="E396" s="250">
        <v>2.2663420116126615E-2</v>
      </c>
      <c r="F396" s="250">
        <v>0</v>
      </c>
      <c r="G396" s="250">
        <v>1.7384985186427414E-2</v>
      </c>
      <c r="H396" s="250">
        <v>0</v>
      </c>
      <c r="I396" s="250">
        <v>0</v>
      </c>
      <c r="J396" s="251">
        <v>1.6989228478851037E-2</v>
      </c>
      <c r="K396" s="249">
        <v>0</v>
      </c>
      <c r="L396" s="250">
        <v>0</v>
      </c>
      <c r="M396" s="250">
        <v>0</v>
      </c>
      <c r="N396" s="250">
        <v>0</v>
      </c>
      <c r="O396" s="249">
        <v>0</v>
      </c>
      <c r="P396" s="249">
        <v>0</v>
      </c>
      <c r="Q396" s="250">
        <v>0</v>
      </c>
      <c r="R396" s="252">
        <v>0</v>
      </c>
      <c r="S396" s="15"/>
      <c r="T396" s="15"/>
      <c r="U396" s="15"/>
      <c r="V396" s="15"/>
    </row>
    <row r="397" spans="1:22">
      <c r="A397" s="253"/>
      <c r="B397" s="254" t="s">
        <v>122</v>
      </c>
      <c r="C397" s="255">
        <v>2.4502313340973726E-2</v>
      </c>
      <c r="D397" s="256">
        <v>0</v>
      </c>
      <c r="E397" s="256">
        <v>4.0248252541289511E-2</v>
      </c>
      <c r="F397" s="256">
        <v>0</v>
      </c>
      <c r="G397" s="256">
        <v>1.278103966776457E-2</v>
      </c>
      <c r="H397" s="256">
        <v>0</v>
      </c>
      <c r="I397" s="256">
        <v>0</v>
      </c>
      <c r="J397" s="257">
        <v>2.5050478602611292E-2</v>
      </c>
      <c r="K397" s="255">
        <v>0</v>
      </c>
      <c r="L397" s="256">
        <v>0</v>
      </c>
      <c r="M397" s="256">
        <v>0</v>
      </c>
      <c r="N397" s="256">
        <v>0</v>
      </c>
      <c r="O397" s="255">
        <v>0</v>
      </c>
      <c r="P397" s="255">
        <v>0</v>
      </c>
      <c r="Q397" s="256">
        <v>0</v>
      </c>
      <c r="R397" s="258">
        <v>0</v>
      </c>
      <c r="S397" s="15"/>
      <c r="T397" s="15"/>
      <c r="U397" s="15"/>
      <c r="V397" s="15"/>
    </row>
    <row r="398" spans="1:22">
      <c r="A398" s="253"/>
      <c r="B398" s="317" t="s">
        <v>123</v>
      </c>
      <c r="C398" s="318">
        <v>1.0693536759619904</v>
      </c>
      <c r="D398" s="319">
        <v>0</v>
      </c>
      <c r="E398" s="319">
        <v>1.7584832425162895</v>
      </c>
      <c r="F398" s="319">
        <v>0</v>
      </c>
      <c r="G398" s="319">
        <v>-0.46039455186628436</v>
      </c>
      <c r="H398" s="319">
        <v>0</v>
      </c>
      <c r="I398" s="319">
        <v>0</v>
      </c>
      <c r="J398" s="320">
        <v>0.80612501237602541</v>
      </c>
      <c r="K398" s="318">
        <v>0</v>
      </c>
      <c r="L398" s="319">
        <v>0</v>
      </c>
      <c r="M398" s="319">
        <v>0</v>
      </c>
      <c r="N398" s="319">
        <v>0</v>
      </c>
      <c r="O398" s="318">
        <v>0</v>
      </c>
      <c r="P398" s="321">
        <v>0</v>
      </c>
      <c r="Q398" s="319">
        <v>0</v>
      </c>
      <c r="R398" s="322">
        <v>0</v>
      </c>
      <c r="S398" s="15"/>
      <c r="T398" s="15"/>
      <c r="U398" s="15"/>
      <c r="V398" s="15"/>
    </row>
    <row r="399" spans="1:22">
      <c r="A399" s="253"/>
      <c r="B399" s="234" t="s">
        <v>124</v>
      </c>
      <c r="C399" s="249">
        <v>1.8397272874844434E-4</v>
      </c>
      <c r="D399" s="250">
        <v>0</v>
      </c>
      <c r="E399" s="250">
        <v>0</v>
      </c>
      <c r="F399" s="250">
        <v>0</v>
      </c>
      <c r="G399" s="250">
        <v>0</v>
      </c>
      <c r="H399" s="250">
        <v>0</v>
      </c>
      <c r="I399" s="250">
        <v>0</v>
      </c>
      <c r="J399" s="251">
        <v>8.7573342674489882E-5</v>
      </c>
      <c r="K399" s="249">
        <v>0</v>
      </c>
      <c r="L399" s="250">
        <v>0</v>
      </c>
      <c r="M399" s="250">
        <v>0</v>
      </c>
      <c r="N399" s="250">
        <v>0</v>
      </c>
      <c r="O399" s="249">
        <v>0</v>
      </c>
      <c r="P399" s="249">
        <v>0</v>
      </c>
      <c r="Q399" s="250">
        <v>0</v>
      </c>
      <c r="R399" s="252">
        <v>0</v>
      </c>
      <c r="S399" s="15"/>
      <c r="T399" s="15"/>
      <c r="U399" s="15"/>
      <c r="V399" s="15"/>
    </row>
    <row r="400" spans="1:22">
      <c r="A400" s="253"/>
      <c r="B400" s="254" t="s">
        <v>125</v>
      </c>
      <c r="C400" s="255">
        <v>0</v>
      </c>
      <c r="D400" s="256">
        <v>0</v>
      </c>
      <c r="E400" s="256">
        <v>0</v>
      </c>
      <c r="F400" s="256">
        <v>0</v>
      </c>
      <c r="G400" s="256">
        <v>0</v>
      </c>
      <c r="H400" s="256">
        <v>0</v>
      </c>
      <c r="I400" s="256">
        <v>0</v>
      </c>
      <c r="J400" s="257">
        <v>0</v>
      </c>
      <c r="K400" s="255">
        <v>0</v>
      </c>
      <c r="L400" s="256">
        <v>0</v>
      </c>
      <c r="M400" s="256">
        <v>0</v>
      </c>
      <c r="N400" s="256">
        <v>0</v>
      </c>
      <c r="O400" s="255">
        <v>0</v>
      </c>
      <c r="P400" s="255">
        <v>0</v>
      </c>
      <c r="Q400" s="256">
        <v>0</v>
      </c>
      <c r="R400" s="258">
        <v>0</v>
      </c>
      <c r="S400" s="15"/>
      <c r="T400" s="15"/>
      <c r="U400" s="15"/>
      <c r="V400" s="15"/>
    </row>
    <row r="401" spans="1:22">
      <c r="A401" s="260"/>
      <c r="B401" s="317" t="s">
        <v>126</v>
      </c>
      <c r="C401" s="318">
        <v>-1.8397272874844436E-2</v>
      </c>
      <c r="D401" s="319">
        <v>0</v>
      </c>
      <c r="E401" s="319">
        <v>0</v>
      </c>
      <c r="F401" s="319">
        <v>0</v>
      </c>
      <c r="G401" s="319">
        <v>0</v>
      </c>
      <c r="H401" s="319">
        <v>0</v>
      </c>
      <c r="I401" s="319">
        <v>0</v>
      </c>
      <c r="J401" s="320">
        <v>-8.7573342674489886E-3</v>
      </c>
      <c r="K401" s="318">
        <v>0</v>
      </c>
      <c r="L401" s="319">
        <v>0</v>
      </c>
      <c r="M401" s="319">
        <v>0</v>
      </c>
      <c r="N401" s="319">
        <v>0</v>
      </c>
      <c r="O401" s="318">
        <v>0</v>
      </c>
      <c r="P401" s="321">
        <v>0</v>
      </c>
      <c r="Q401" s="319">
        <v>0</v>
      </c>
      <c r="R401" s="322">
        <v>0</v>
      </c>
      <c r="S401" s="15"/>
      <c r="T401" s="15"/>
      <c r="U401" s="15"/>
      <c r="V401" s="15"/>
    </row>
    <row r="402" spans="1:22">
      <c r="A402" s="248" t="s">
        <v>81</v>
      </c>
      <c r="B402" s="234" t="s">
        <v>91</v>
      </c>
      <c r="C402" s="249">
        <v>0.94047408375005248</v>
      </c>
      <c r="D402" s="250">
        <v>0</v>
      </c>
      <c r="E402" s="250">
        <v>0.99714630816450134</v>
      </c>
      <c r="F402" s="250">
        <v>0.99469001816572733</v>
      </c>
      <c r="G402" s="250">
        <v>0.97178033025409749</v>
      </c>
      <c r="H402" s="250">
        <v>0.87729511743618738</v>
      </c>
      <c r="I402" s="250">
        <v>0</v>
      </c>
      <c r="J402" s="251">
        <v>0.94904716340502193</v>
      </c>
      <c r="K402" s="249">
        <v>0</v>
      </c>
      <c r="L402" s="250">
        <v>0.75472233320316584</v>
      </c>
      <c r="M402" s="250">
        <v>0.69371130336913578</v>
      </c>
      <c r="N402" s="250">
        <v>0.84371820093616445</v>
      </c>
      <c r="O402" s="249">
        <v>0.7428926623526888</v>
      </c>
      <c r="P402" s="249">
        <v>0</v>
      </c>
      <c r="Q402" s="250">
        <v>0</v>
      </c>
      <c r="R402" s="252">
        <v>0</v>
      </c>
      <c r="S402" s="15"/>
      <c r="T402" s="15"/>
      <c r="U402" s="15"/>
      <c r="V402" s="15"/>
    </row>
    <row r="403" spans="1:22">
      <c r="A403" s="253"/>
      <c r="B403" s="254" t="s">
        <v>92</v>
      </c>
      <c r="C403" s="255">
        <v>0.93402853695991606</v>
      </c>
      <c r="D403" s="256">
        <v>0</v>
      </c>
      <c r="E403" s="256">
        <v>0.98377612214781351</v>
      </c>
      <c r="F403" s="256">
        <v>0.9902708388114646</v>
      </c>
      <c r="G403" s="256">
        <v>0.95519819517071181</v>
      </c>
      <c r="H403" s="256">
        <v>0.87677108728693398</v>
      </c>
      <c r="I403" s="256">
        <v>0</v>
      </c>
      <c r="J403" s="257">
        <v>0.93971015512191503</v>
      </c>
      <c r="K403" s="255">
        <v>0</v>
      </c>
      <c r="L403" s="256">
        <v>0.77725501163948496</v>
      </c>
      <c r="M403" s="256">
        <v>0.72783240138791827</v>
      </c>
      <c r="N403" s="256">
        <v>0.86163715731842472</v>
      </c>
      <c r="O403" s="255">
        <v>0.76839233971132204</v>
      </c>
      <c r="P403" s="255">
        <v>0</v>
      </c>
      <c r="Q403" s="256">
        <v>0</v>
      </c>
      <c r="R403" s="258">
        <v>0</v>
      </c>
      <c r="S403" s="15"/>
      <c r="T403" s="15"/>
      <c r="U403" s="15"/>
      <c r="V403" s="15"/>
    </row>
    <row r="404" spans="1:22">
      <c r="A404" s="253"/>
      <c r="B404" s="317" t="s">
        <v>93</v>
      </c>
      <c r="C404" s="318">
        <v>-0.6445546790136425</v>
      </c>
      <c r="D404" s="319">
        <v>0</v>
      </c>
      <c r="E404" s="319">
        <v>-1.3370186016687824</v>
      </c>
      <c r="F404" s="319">
        <v>-0.44191793542627256</v>
      </c>
      <c r="G404" s="319">
        <v>-1.6582135083385685</v>
      </c>
      <c r="H404" s="319">
        <v>-5.2403014925339608E-2</v>
      </c>
      <c r="I404" s="319">
        <v>0</v>
      </c>
      <c r="J404" s="320">
        <v>-0.93370082831069068</v>
      </c>
      <c r="K404" s="318">
        <v>0</v>
      </c>
      <c r="L404" s="319">
        <v>2.253267843631912</v>
      </c>
      <c r="M404" s="319">
        <v>3.4121098018782492</v>
      </c>
      <c r="N404" s="319">
        <v>1.7918956382260265</v>
      </c>
      <c r="O404" s="318">
        <v>2.5499677358633233</v>
      </c>
      <c r="P404" s="321">
        <v>0</v>
      </c>
      <c r="Q404" s="319">
        <v>0</v>
      </c>
      <c r="R404" s="322">
        <v>0</v>
      </c>
      <c r="S404" s="15"/>
      <c r="T404" s="15"/>
      <c r="U404" s="15"/>
      <c r="V404" s="15"/>
    </row>
    <row r="405" spans="1:22">
      <c r="A405" s="253"/>
      <c r="B405" s="234" t="s">
        <v>94</v>
      </c>
      <c r="C405" s="249">
        <v>2.0681187526339507E-2</v>
      </c>
      <c r="D405" s="250">
        <v>0</v>
      </c>
      <c r="E405" s="250">
        <v>2.1419797230481808E-3</v>
      </c>
      <c r="F405" s="250">
        <v>2.7597931901811915E-3</v>
      </c>
      <c r="G405" s="250">
        <v>5.8705490095234325E-3</v>
      </c>
      <c r="H405" s="250">
        <v>6.3887940342499741E-2</v>
      </c>
      <c r="I405" s="250">
        <v>0</v>
      </c>
      <c r="J405" s="251">
        <v>2.036177279749217E-2</v>
      </c>
      <c r="K405" s="249">
        <v>0</v>
      </c>
      <c r="L405" s="250">
        <v>4.322764185433732E-2</v>
      </c>
      <c r="M405" s="250">
        <v>7.997853593674327E-2</v>
      </c>
      <c r="N405" s="250">
        <v>2.7843260294416933E-2</v>
      </c>
      <c r="O405" s="249">
        <v>5.4160353631325493E-2</v>
      </c>
      <c r="P405" s="249">
        <v>0</v>
      </c>
      <c r="Q405" s="250">
        <v>0</v>
      </c>
      <c r="R405" s="252">
        <v>0</v>
      </c>
      <c r="S405" s="15"/>
      <c r="T405" s="15"/>
      <c r="U405" s="15"/>
      <c r="V405" s="15"/>
    </row>
    <row r="406" spans="1:22">
      <c r="A406" s="253"/>
      <c r="B406" s="254" t="s">
        <v>95</v>
      </c>
      <c r="C406" s="255">
        <v>2.6395959107484757E-2</v>
      </c>
      <c r="D406" s="256">
        <v>0</v>
      </c>
      <c r="E406" s="256">
        <v>6.880682506290846E-3</v>
      </c>
      <c r="F406" s="256">
        <v>2.640935645771645E-3</v>
      </c>
      <c r="G406" s="256">
        <v>5.2334056092690146E-3</v>
      </c>
      <c r="H406" s="256">
        <v>6.211173788418186E-2</v>
      </c>
      <c r="I406" s="256">
        <v>0</v>
      </c>
      <c r="J406" s="257">
        <v>2.3792915467446673E-2</v>
      </c>
      <c r="K406" s="255">
        <v>0</v>
      </c>
      <c r="L406" s="256">
        <v>3.759612120933923E-2</v>
      </c>
      <c r="M406" s="256">
        <v>7.2517154232783057E-2</v>
      </c>
      <c r="N406" s="256">
        <v>3.8073048815140002E-2</v>
      </c>
      <c r="O406" s="255">
        <v>4.9863870826129336E-2</v>
      </c>
      <c r="P406" s="255">
        <v>0</v>
      </c>
      <c r="Q406" s="256">
        <v>0</v>
      </c>
      <c r="R406" s="258">
        <v>0</v>
      </c>
      <c r="S406" s="15"/>
      <c r="T406" s="15"/>
      <c r="U406" s="15"/>
      <c r="V406" s="15"/>
    </row>
    <row r="407" spans="1:22">
      <c r="A407" s="253"/>
      <c r="B407" s="317" t="s">
        <v>96</v>
      </c>
      <c r="C407" s="318">
        <v>0.57147715811452504</v>
      </c>
      <c r="D407" s="319">
        <v>0</v>
      </c>
      <c r="E407" s="319">
        <v>0.47387027832426654</v>
      </c>
      <c r="F407" s="319">
        <v>-1.1885754440954651E-2</v>
      </c>
      <c r="G407" s="319">
        <v>-6.3714340025441796E-2</v>
      </c>
      <c r="H407" s="319">
        <v>-0.17762024583178812</v>
      </c>
      <c r="I407" s="319">
        <v>0</v>
      </c>
      <c r="J407" s="320">
        <v>0.34311426699545033</v>
      </c>
      <c r="K407" s="318">
        <v>0</v>
      </c>
      <c r="L407" s="319">
        <v>-0.56315206449980904</v>
      </c>
      <c r="M407" s="319">
        <v>-0.74613817039602126</v>
      </c>
      <c r="N407" s="319">
        <v>1.0229788520723069</v>
      </c>
      <c r="O407" s="318">
        <v>-0.42964828051961568</v>
      </c>
      <c r="P407" s="321">
        <v>0</v>
      </c>
      <c r="Q407" s="319">
        <v>0</v>
      </c>
      <c r="R407" s="322">
        <v>0</v>
      </c>
      <c r="S407" s="15"/>
      <c r="T407" s="15"/>
      <c r="U407" s="15"/>
      <c r="V407" s="15"/>
    </row>
    <row r="408" spans="1:22">
      <c r="A408" s="253"/>
      <c r="B408" s="234" t="s">
        <v>97</v>
      </c>
      <c r="C408" s="249">
        <v>3.4656861224780205E-2</v>
      </c>
      <c r="D408" s="250">
        <v>0</v>
      </c>
      <c r="E408" s="250">
        <v>7.1171211245051372E-4</v>
      </c>
      <c r="F408" s="250">
        <v>2.5501886440914808E-3</v>
      </c>
      <c r="G408" s="250">
        <v>2.171393216889422E-2</v>
      </c>
      <c r="H408" s="250">
        <v>5.7934909287474995E-2</v>
      </c>
      <c r="I408" s="250">
        <v>0</v>
      </c>
      <c r="J408" s="251">
        <v>2.8457847540072176E-2</v>
      </c>
      <c r="K408" s="249">
        <v>0</v>
      </c>
      <c r="L408" s="250">
        <v>0.20112455673458701</v>
      </c>
      <c r="M408" s="250">
        <v>0.18821269342868491</v>
      </c>
      <c r="N408" s="250">
        <v>9.5999253781968663E-2</v>
      </c>
      <c r="O408" s="249">
        <v>0.18627508111933705</v>
      </c>
      <c r="P408" s="249">
        <v>0</v>
      </c>
      <c r="Q408" s="250">
        <v>0</v>
      </c>
      <c r="R408" s="252">
        <v>0</v>
      </c>
      <c r="S408" s="15"/>
      <c r="T408" s="15"/>
      <c r="U408" s="15"/>
      <c r="V408" s="15"/>
    </row>
    <row r="409" spans="1:22">
      <c r="A409" s="253"/>
      <c r="B409" s="254" t="s">
        <v>98</v>
      </c>
      <c r="C409" s="255">
        <v>3.5269494296809423E-2</v>
      </c>
      <c r="D409" s="256">
        <v>0</v>
      </c>
      <c r="E409" s="256">
        <v>9.3431953458955868E-3</v>
      </c>
      <c r="F409" s="256">
        <v>7.0882255427637221E-3</v>
      </c>
      <c r="G409" s="256">
        <v>3.7828211587980075E-2</v>
      </c>
      <c r="H409" s="256">
        <v>6.0650495241398303E-2</v>
      </c>
      <c r="I409" s="256">
        <v>0</v>
      </c>
      <c r="J409" s="257">
        <v>3.4145188172515731E-2</v>
      </c>
      <c r="K409" s="255">
        <v>0</v>
      </c>
      <c r="L409" s="256">
        <v>0.18514886715117576</v>
      </c>
      <c r="M409" s="256">
        <v>0.17169781625441133</v>
      </c>
      <c r="N409" s="256">
        <v>8.089219530690106E-2</v>
      </c>
      <c r="O409" s="255">
        <v>0.17002384842645907</v>
      </c>
      <c r="P409" s="255">
        <v>0</v>
      </c>
      <c r="Q409" s="256">
        <v>0</v>
      </c>
      <c r="R409" s="258">
        <v>0</v>
      </c>
      <c r="S409" s="15"/>
      <c r="T409" s="15"/>
      <c r="U409" s="15"/>
      <c r="V409" s="15"/>
    </row>
    <row r="410" spans="1:22">
      <c r="A410" s="253"/>
      <c r="B410" s="317" t="s">
        <v>99</v>
      </c>
      <c r="C410" s="318">
        <v>6.1263307202921724E-2</v>
      </c>
      <c r="D410" s="319">
        <v>0</v>
      </c>
      <c r="E410" s="319">
        <v>0.86314832334450731</v>
      </c>
      <c r="F410" s="319">
        <v>0.45380368986722414</v>
      </c>
      <c r="G410" s="319">
        <v>1.6114279419085855</v>
      </c>
      <c r="H410" s="319">
        <v>0.27155859539233079</v>
      </c>
      <c r="I410" s="319">
        <v>0</v>
      </c>
      <c r="J410" s="320">
        <v>0.56873406324435549</v>
      </c>
      <c r="K410" s="318">
        <v>0</v>
      </c>
      <c r="L410" s="319">
        <v>-1.597568958341125</v>
      </c>
      <c r="M410" s="319">
        <v>-1.6514877174273579</v>
      </c>
      <c r="N410" s="319">
        <v>-1.5107058475067603</v>
      </c>
      <c r="O410" s="318">
        <v>-1.6251232692877982</v>
      </c>
      <c r="P410" s="321">
        <v>0</v>
      </c>
      <c r="Q410" s="319">
        <v>0</v>
      </c>
      <c r="R410" s="322">
        <v>0</v>
      </c>
      <c r="S410" s="15"/>
      <c r="T410" s="15"/>
      <c r="U410" s="15"/>
      <c r="V410" s="15"/>
    </row>
    <row r="411" spans="1:22">
      <c r="A411" s="253"/>
      <c r="B411" s="234" t="s">
        <v>100</v>
      </c>
      <c r="C411" s="249">
        <v>3.1981405904792834E-3</v>
      </c>
      <c r="D411" s="250">
        <v>0</v>
      </c>
      <c r="E411" s="250">
        <v>0</v>
      </c>
      <c r="F411" s="250">
        <v>0</v>
      </c>
      <c r="G411" s="250">
        <v>0</v>
      </c>
      <c r="H411" s="250">
        <v>4.1751402197340353E-4</v>
      </c>
      <c r="I411" s="250">
        <v>0</v>
      </c>
      <c r="J411" s="251">
        <v>1.5005139167844606E-3</v>
      </c>
      <c r="K411" s="249">
        <v>0</v>
      </c>
      <c r="L411" s="250">
        <v>4.9659269692721984E-4</v>
      </c>
      <c r="M411" s="250">
        <v>3.762436146279334E-2</v>
      </c>
      <c r="N411" s="250">
        <v>3.2439284987449968E-2</v>
      </c>
      <c r="O411" s="249">
        <v>1.6270740115771357E-2</v>
      </c>
      <c r="P411" s="249">
        <v>0</v>
      </c>
      <c r="Q411" s="250">
        <v>0</v>
      </c>
      <c r="R411" s="252">
        <v>0</v>
      </c>
      <c r="S411" s="15"/>
      <c r="T411" s="15"/>
      <c r="U411" s="15"/>
      <c r="V411" s="15"/>
    </row>
    <row r="412" spans="1:22">
      <c r="A412" s="253"/>
      <c r="B412" s="254" t="s">
        <v>101</v>
      </c>
      <c r="C412" s="255">
        <v>3.2865262712031534E-3</v>
      </c>
      <c r="D412" s="256">
        <v>0</v>
      </c>
      <c r="E412" s="256">
        <v>0</v>
      </c>
      <c r="F412" s="256">
        <v>0</v>
      </c>
      <c r="G412" s="256">
        <v>0</v>
      </c>
      <c r="H412" s="256">
        <v>2.371650362632991E-4</v>
      </c>
      <c r="I412" s="256">
        <v>0</v>
      </c>
      <c r="J412" s="257">
        <v>1.5342200234079928E-3</v>
      </c>
      <c r="K412" s="255">
        <v>0</v>
      </c>
      <c r="L412" s="256">
        <v>0</v>
      </c>
      <c r="M412" s="256">
        <v>2.7946011596216368E-2</v>
      </c>
      <c r="N412" s="256">
        <v>1.9397598559534254E-2</v>
      </c>
      <c r="O412" s="255">
        <v>1.1717625681105561E-2</v>
      </c>
      <c r="P412" s="255">
        <v>0</v>
      </c>
      <c r="Q412" s="256">
        <v>0</v>
      </c>
      <c r="R412" s="258">
        <v>0</v>
      </c>
      <c r="S412" s="15"/>
      <c r="T412" s="15"/>
      <c r="U412" s="15"/>
      <c r="V412" s="15"/>
    </row>
    <row r="413" spans="1:22">
      <c r="A413" s="253"/>
      <c r="B413" s="317" t="s">
        <v>102</v>
      </c>
      <c r="C413" s="318">
        <v>8.838568072386992E-3</v>
      </c>
      <c r="D413" s="319">
        <v>0</v>
      </c>
      <c r="E413" s="319">
        <v>0</v>
      </c>
      <c r="F413" s="319">
        <v>0</v>
      </c>
      <c r="G413" s="319">
        <v>0</v>
      </c>
      <c r="H413" s="319">
        <v>-1.8034898571010444E-2</v>
      </c>
      <c r="I413" s="319">
        <v>0</v>
      </c>
      <c r="J413" s="320">
        <v>3.3706106623532153E-3</v>
      </c>
      <c r="K413" s="318">
        <v>0</v>
      </c>
      <c r="L413" s="319">
        <v>-4.9659269692721983E-2</v>
      </c>
      <c r="M413" s="319">
        <v>-0.96783498665769729</v>
      </c>
      <c r="N413" s="319">
        <v>-1.3041686427915713</v>
      </c>
      <c r="O413" s="318">
        <v>-0.45531144346657954</v>
      </c>
      <c r="P413" s="321">
        <v>0</v>
      </c>
      <c r="Q413" s="319">
        <v>0</v>
      </c>
      <c r="R413" s="322">
        <v>0</v>
      </c>
      <c r="S413" s="15"/>
      <c r="T413" s="15"/>
      <c r="U413" s="15"/>
      <c r="V413" s="15"/>
    </row>
    <row r="414" spans="1:22">
      <c r="A414" s="253"/>
      <c r="B414" s="234" t="s">
        <v>103</v>
      </c>
      <c r="C414" s="249">
        <v>9.8972690834855177E-4</v>
      </c>
      <c r="D414" s="250">
        <v>0</v>
      </c>
      <c r="E414" s="250">
        <v>0</v>
      </c>
      <c r="F414" s="250">
        <v>0</v>
      </c>
      <c r="G414" s="250">
        <v>6.35188567484939E-4</v>
      </c>
      <c r="H414" s="250">
        <v>4.6451891186444894E-4</v>
      </c>
      <c r="I414" s="250">
        <v>0</v>
      </c>
      <c r="J414" s="251">
        <v>6.3270234062937883E-4</v>
      </c>
      <c r="K414" s="249">
        <v>0</v>
      </c>
      <c r="L414" s="250">
        <v>4.2887551098259896E-4</v>
      </c>
      <c r="M414" s="250">
        <v>4.7310580264266943E-4</v>
      </c>
      <c r="N414" s="250">
        <v>0</v>
      </c>
      <c r="O414" s="249">
        <v>4.0116278087728812E-4</v>
      </c>
      <c r="P414" s="249">
        <v>0</v>
      </c>
      <c r="Q414" s="250">
        <v>0</v>
      </c>
      <c r="R414" s="252">
        <v>0</v>
      </c>
      <c r="S414" s="15"/>
      <c r="T414" s="15"/>
      <c r="U414" s="15"/>
      <c r="V414" s="15"/>
    </row>
    <row r="415" spans="1:22">
      <c r="A415" s="253"/>
      <c r="B415" s="254" t="s">
        <v>104</v>
      </c>
      <c r="C415" s="255">
        <v>1.0194833645866292E-3</v>
      </c>
      <c r="D415" s="256">
        <v>0</v>
      </c>
      <c r="E415" s="256">
        <v>0</v>
      </c>
      <c r="F415" s="256">
        <v>0</v>
      </c>
      <c r="G415" s="256">
        <v>1.7401876320391446E-3</v>
      </c>
      <c r="H415" s="256">
        <v>2.295145512225475E-4</v>
      </c>
      <c r="I415" s="256">
        <v>0</v>
      </c>
      <c r="J415" s="257">
        <v>8.1752121471460025E-4</v>
      </c>
      <c r="K415" s="255">
        <v>0</v>
      </c>
      <c r="L415" s="256">
        <v>0</v>
      </c>
      <c r="M415" s="256">
        <v>6.6165286708743668E-6</v>
      </c>
      <c r="N415" s="256">
        <v>0</v>
      </c>
      <c r="O415" s="255">
        <v>2.3153549839167914E-6</v>
      </c>
      <c r="P415" s="255">
        <v>0</v>
      </c>
      <c r="Q415" s="256">
        <v>0</v>
      </c>
      <c r="R415" s="258">
        <v>0</v>
      </c>
      <c r="S415" s="15"/>
      <c r="T415" s="15"/>
      <c r="U415" s="15"/>
      <c r="V415" s="15"/>
    </row>
    <row r="416" spans="1:22">
      <c r="A416" s="253"/>
      <c r="B416" s="317" t="s">
        <v>105</v>
      </c>
      <c r="C416" s="318">
        <v>2.9756456238077406E-3</v>
      </c>
      <c r="D416" s="319">
        <v>0</v>
      </c>
      <c r="E416" s="319">
        <v>0</v>
      </c>
      <c r="F416" s="319">
        <v>0</v>
      </c>
      <c r="G416" s="319">
        <v>0.11049990645542054</v>
      </c>
      <c r="H416" s="319">
        <v>-2.3500436064190142E-2</v>
      </c>
      <c r="I416" s="319">
        <v>0</v>
      </c>
      <c r="J416" s="320">
        <v>1.8481887408522142E-2</v>
      </c>
      <c r="K416" s="318">
        <v>0</v>
      </c>
      <c r="L416" s="319">
        <v>-4.2887551098259896E-2</v>
      </c>
      <c r="M416" s="319">
        <v>-4.6648927397179504E-2</v>
      </c>
      <c r="N416" s="319">
        <v>0</v>
      </c>
      <c r="O416" s="318">
        <v>-3.9884742589337135E-2</v>
      </c>
      <c r="P416" s="321">
        <v>0</v>
      </c>
      <c r="Q416" s="319">
        <v>0</v>
      </c>
      <c r="R416" s="322">
        <v>0</v>
      </c>
      <c r="S416" s="15"/>
      <c r="T416" s="15"/>
      <c r="U416" s="15"/>
      <c r="V416" s="15"/>
    </row>
    <row r="417" spans="1:22">
      <c r="A417" s="253"/>
      <c r="B417" s="234" t="s">
        <v>106</v>
      </c>
      <c r="C417" s="249">
        <v>0</v>
      </c>
      <c r="D417" s="250">
        <v>0</v>
      </c>
      <c r="E417" s="250">
        <v>0</v>
      </c>
      <c r="F417" s="250">
        <v>0</v>
      </c>
      <c r="G417" s="250">
        <v>0</v>
      </c>
      <c r="H417" s="250">
        <v>0</v>
      </c>
      <c r="I417" s="250">
        <v>0</v>
      </c>
      <c r="J417" s="251">
        <v>0</v>
      </c>
      <c r="K417" s="249">
        <v>0</v>
      </c>
      <c r="L417" s="250">
        <v>0</v>
      </c>
      <c r="M417" s="250">
        <v>0</v>
      </c>
      <c r="N417" s="250">
        <v>0</v>
      </c>
      <c r="O417" s="249">
        <v>0</v>
      </c>
      <c r="P417" s="249">
        <v>0</v>
      </c>
      <c r="Q417" s="250">
        <v>0</v>
      </c>
      <c r="R417" s="252">
        <v>0</v>
      </c>
      <c r="S417" s="15"/>
      <c r="T417" s="15"/>
      <c r="U417" s="15"/>
      <c r="V417" s="15"/>
    </row>
    <row r="418" spans="1:22">
      <c r="A418" s="253"/>
      <c r="B418" s="254" t="s">
        <v>107</v>
      </c>
      <c r="C418" s="255">
        <v>0</v>
      </c>
      <c r="D418" s="256">
        <v>0</v>
      </c>
      <c r="E418" s="256">
        <v>0</v>
      </c>
      <c r="F418" s="256">
        <v>0</v>
      </c>
      <c r="G418" s="256">
        <v>0</v>
      </c>
      <c r="H418" s="256">
        <v>0</v>
      </c>
      <c r="I418" s="256">
        <v>0</v>
      </c>
      <c r="J418" s="257">
        <v>0</v>
      </c>
      <c r="K418" s="255">
        <v>0</v>
      </c>
      <c r="L418" s="256">
        <v>0</v>
      </c>
      <c r="M418" s="256">
        <v>0</v>
      </c>
      <c r="N418" s="256">
        <v>0</v>
      </c>
      <c r="O418" s="255">
        <v>0</v>
      </c>
      <c r="P418" s="255">
        <v>0</v>
      </c>
      <c r="Q418" s="256">
        <v>0</v>
      </c>
      <c r="R418" s="258">
        <v>0</v>
      </c>
      <c r="S418" s="15"/>
      <c r="T418" s="15"/>
      <c r="U418" s="15"/>
      <c r="V418" s="15"/>
    </row>
    <row r="419" spans="1:22">
      <c r="A419" s="253"/>
      <c r="B419" s="317" t="s">
        <v>108</v>
      </c>
      <c r="C419" s="318">
        <v>0</v>
      </c>
      <c r="D419" s="319">
        <v>0</v>
      </c>
      <c r="E419" s="319">
        <v>0</v>
      </c>
      <c r="F419" s="319">
        <v>0</v>
      </c>
      <c r="G419" s="319">
        <v>0</v>
      </c>
      <c r="H419" s="319">
        <v>0</v>
      </c>
      <c r="I419" s="319">
        <v>0</v>
      </c>
      <c r="J419" s="320">
        <v>0</v>
      </c>
      <c r="K419" s="318">
        <v>0</v>
      </c>
      <c r="L419" s="319">
        <v>0</v>
      </c>
      <c r="M419" s="319">
        <v>0</v>
      </c>
      <c r="N419" s="319">
        <v>0</v>
      </c>
      <c r="O419" s="318">
        <v>0</v>
      </c>
      <c r="P419" s="321">
        <v>0</v>
      </c>
      <c r="Q419" s="319">
        <v>0</v>
      </c>
      <c r="R419" s="322">
        <v>0</v>
      </c>
      <c r="S419" s="15"/>
      <c r="T419" s="15"/>
      <c r="U419" s="15"/>
      <c r="V419" s="15"/>
    </row>
    <row r="420" spans="1:22">
      <c r="A420" s="253"/>
      <c r="B420" s="234" t="s">
        <v>109</v>
      </c>
      <c r="C420" s="249">
        <v>0.69357702733939941</v>
      </c>
      <c r="D420" s="250">
        <v>0</v>
      </c>
      <c r="E420" s="250">
        <v>0.79569626514964131</v>
      </c>
      <c r="F420" s="250">
        <v>0.9473616307573216</v>
      </c>
      <c r="G420" s="250">
        <v>0.7065990253255573</v>
      </c>
      <c r="H420" s="250">
        <v>0.48282920172845123</v>
      </c>
      <c r="I420" s="250">
        <v>0</v>
      </c>
      <c r="J420" s="251">
        <v>0.71952530294329842</v>
      </c>
      <c r="K420" s="249">
        <v>0</v>
      </c>
      <c r="L420" s="250">
        <v>0</v>
      </c>
      <c r="M420" s="250">
        <v>0</v>
      </c>
      <c r="N420" s="250">
        <v>0</v>
      </c>
      <c r="O420" s="249">
        <v>0</v>
      </c>
      <c r="P420" s="249">
        <v>0</v>
      </c>
      <c r="Q420" s="250">
        <v>0</v>
      </c>
      <c r="R420" s="252">
        <v>0</v>
      </c>
      <c r="S420" s="15"/>
      <c r="T420" s="15"/>
      <c r="U420" s="15"/>
      <c r="V420" s="15"/>
    </row>
    <row r="421" spans="1:22">
      <c r="A421" s="253"/>
      <c r="B421" s="254" t="s">
        <v>110</v>
      </c>
      <c r="C421" s="255">
        <v>0.67156368770237296</v>
      </c>
      <c r="D421" s="256">
        <v>0</v>
      </c>
      <c r="E421" s="256">
        <v>0.66890742905728562</v>
      </c>
      <c r="F421" s="256">
        <v>0.79566679118416139</v>
      </c>
      <c r="G421" s="256">
        <v>0.71406041489748873</v>
      </c>
      <c r="H421" s="256">
        <v>0.51422525276275566</v>
      </c>
      <c r="I421" s="256">
        <v>0</v>
      </c>
      <c r="J421" s="257">
        <v>0.67974246242446246</v>
      </c>
      <c r="K421" s="255">
        <v>0</v>
      </c>
      <c r="L421" s="256">
        <v>0</v>
      </c>
      <c r="M421" s="256">
        <v>0</v>
      </c>
      <c r="N421" s="256">
        <v>0</v>
      </c>
      <c r="O421" s="255">
        <v>0</v>
      </c>
      <c r="P421" s="255">
        <v>0</v>
      </c>
      <c r="Q421" s="256">
        <v>0</v>
      </c>
      <c r="R421" s="258">
        <v>0</v>
      </c>
      <c r="S421" s="15"/>
      <c r="T421" s="15"/>
      <c r="U421" s="15"/>
      <c r="V421" s="15"/>
    </row>
    <row r="422" spans="1:22">
      <c r="A422" s="253"/>
      <c r="B422" s="317" t="s">
        <v>111</v>
      </c>
      <c r="C422" s="318">
        <v>-2.2013339637026452</v>
      </c>
      <c r="D422" s="319">
        <v>0</v>
      </c>
      <c r="E422" s="331">
        <v>-12.678883609235569</v>
      </c>
      <c r="F422" s="331">
        <v>-15.169483957316022</v>
      </c>
      <c r="G422" s="319">
        <v>0.74613895719314316</v>
      </c>
      <c r="H422" s="319">
        <v>3.1396051034304429</v>
      </c>
      <c r="I422" s="319">
        <v>0</v>
      </c>
      <c r="J422" s="320">
        <v>-3.978284051883596</v>
      </c>
      <c r="K422" s="318">
        <v>0</v>
      </c>
      <c r="L422" s="319">
        <v>0</v>
      </c>
      <c r="M422" s="319">
        <v>0</v>
      </c>
      <c r="N422" s="319">
        <v>0</v>
      </c>
      <c r="O422" s="318">
        <v>0</v>
      </c>
      <c r="P422" s="321">
        <v>0</v>
      </c>
      <c r="Q422" s="319">
        <v>0</v>
      </c>
      <c r="R422" s="322">
        <v>0</v>
      </c>
      <c r="S422" s="15"/>
      <c r="T422" s="15"/>
      <c r="U422" s="15"/>
      <c r="V422" s="15"/>
    </row>
    <row r="423" spans="1:22">
      <c r="A423" s="253"/>
      <c r="B423" s="234" t="s">
        <v>112</v>
      </c>
      <c r="C423" s="249">
        <v>0.10867989156702461</v>
      </c>
      <c r="D423" s="250">
        <v>0</v>
      </c>
      <c r="E423" s="250">
        <v>0.1908099046362712</v>
      </c>
      <c r="F423" s="250">
        <v>3.7350019352341633E-2</v>
      </c>
      <c r="G423" s="250">
        <v>0.17128704961252697</v>
      </c>
      <c r="H423" s="250">
        <v>0.18558107800773255</v>
      </c>
      <c r="I423" s="250">
        <v>0</v>
      </c>
      <c r="J423" s="251">
        <v>0.12262393804202187</v>
      </c>
      <c r="K423" s="249">
        <v>0</v>
      </c>
      <c r="L423" s="250">
        <v>0</v>
      </c>
      <c r="M423" s="250">
        <v>0</v>
      </c>
      <c r="N423" s="250">
        <v>0</v>
      </c>
      <c r="O423" s="249">
        <v>0</v>
      </c>
      <c r="P423" s="249">
        <v>0</v>
      </c>
      <c r="Q423" s="250">
        <v>0</v>
      </c>
      <c r="R423" s="252">
        <v>0</v>
      </c>
      <c r="S423" s="15"/>
      <c r="T423" s="15"/>
      <c r="U423" s="15"/>
      <c r="V423" s="15"/>
    </row>
    <row r="424" spans="1:22">
      <c r="A424" s="253"/>
      <c r="B424" s="254" t="s">
        <v>113</v>
      </c>
      <c r="C424" s="255">
        <v>0.13084355961594532</v>
      </c>
      <c r="D424" s="256">
        <v>0</v>
      </c>
      <c r="E424" s="256">
        <v>0.2628334573280901</v>
      </c>
      <c r="F424" s="256">
        <v>0.10907732536421368</v>
      </c>
      <c r="G424" s="256">
        <v>0.13081806785555422</v>
      </c>
      <c r="H424" s="256">
        <v>0.2007994356924524</v>
      </c>
      <c r="I424" s="256">
        <v>0</v>
      </c>
      <c r="J424" s="257">
        <v>0.14851189727256059</v>
      </c>
      <c r="K424" s="255">
        <v>0</v>
      </c>
      <c r="L424" s="256">
        <v>0</v>
      </c>
      <c r="M424" s="256">
        <v>0</v>
      </c>
      <c r="N424" s="256">
        <v>0</v>
      </c>
      <c r="O424" s="255">
        <v>0</v>
      </c>
      <c r="P424" s="255">
        <v>0</v>
      </c>
      <c r="Q424" s="256">
        <v>0</v>
      </c>
      <c r="R424" s="258">
        <v>0</v>
      </c>
      <c r="S424" s="15"/>
      <c r="T424" s="15"/>
      <c r="U424" s="15"/>
      <c r="V424" s="15"/>
    </row>
    <row r="425" spans="1:22">
      <c r="A425" s="253"/>
      <c r="B425" s="317" t="s">
        <v>114</v>
      </c>
      <c r="C425" s="318">
        <v>2.2163668048920711</v>
      </c>
      <c r="D425" s="319">
        <v>0</v>
      </c>
      <c r="E425" s="331">
        <v>7.20235526918189</v>
      </c>
      <c r="F425" s="331">
        <v>7.1727306011872045</v>
      </c>
      <c r="G425" s="319">
        <v>-4.0468981756972751</v>
      </c>
      <c r="H425" s="319">
        <v>1.5218357684719852</v>
      </c>
      <c r="I425" s="319">
        <v>0</v>
      </c>
      <c r="J425" s="320">
        <v>2.5887959230538717</v>
      </c>
      <c r="K425" s="318">
        <v>0</v>
      </c>
      <c r="L425" s="319">
        <v>0</v>
      </c>
      <c r="M425" s="319">
        <v>0</v>
      </c>
      <c r="N425" s="319">
        <v>0</v>
      </c>
      <c r="O425" s="318">
        <v>0</v>
      </c>
      <c r="P425" s="321">
        <v>0</v>
      </c>
      <c r="Q425" s="319">
        <v>0</v>
      </c>
      <c r="R425" s="322">
        <v>0</v>
      </c>
      <c r="S425" s="15"/>
      <c r="T425" s="15"/>
      <c r="U425" s="15"/>
      <c r="V425" s="15"/>
    </row>
    <row r="426" spans="1:22">
      <c r="A426" s="253"/>
      <c r="B426" s="234" t="s">
        <v>115</v>
      </c>
      <c r="C426" s="249">
        <v>0.18342194296761721</v>
      </c>
      <c r="D426" s="250">
        <v>0</v>
      </c>
      <c r="E426" s="250">
        <v>9.7012669359936247E-3</v>
      </c>
      <c r="F426" s="250">
        <v>1.5288349890336731E-2</v>
      </c>
      <c r="G426" s="250">
        <v>0.12211392506191579</v>
      </c>
      <c r="H426" s="250">
        <v>0.31726176938821926</v>
      </c>
      <c r="I426" s="250">
        <v>0</v>
      </c>
      <c r="J426" s="251">
        <v>0.14707657876525759</v>
      </c>
      <c r="K426" s="249">
        <v>0</v>
      </c>
      <c r="L426" s="250">
        <v>0</v>
      </c>
      <c r="M426" s="250">
        <v>0</v>
      </c>
      <c r="N426" s="250">
        <v>0</v>
      </c>
      <c r="O426" s="249">
        <v>0</v>
      </c>
      <c r="P426" s="249">
        <v>0</v>
      </c>
      <c r="Q426" s="250">
        <v>0</v>
      </c>
      <c r="R426" s="252">
        <v>0</v>
      </c>
      <c r="S426" s="15"/>
      <c r="T426" s="15"/>
      <c r="U426" s="15"/>
      <c r="V426" s="15"/>
    </row>
    <row r="427" spans="1:22">
      <c r="A427" s="253"/>
      <c r="B427" s="254" t="s">
        <v>116</v>
      </c>
      <c r="C427" s="255">
        <v>0.18691206334753674</v>
      </c>
      <c r="D427" s="256">
        <v>0</v>
      </c>
      <c r="E427" s="256">
        <v>6.602720799234775E-2</v>
      </c>
      <c r="F427" s="256">
        <v>9.5255883451624959E-2</v>
      </c>
      <c r="G427" s="256">
        <v>0.1485705042662461</v>
      </c>
      <c r="H427" s="256">
        <v>0.28356454267575831</v>
      </c>
      <c r="I427" s="256">
        <v>0</v>
      </c>
      <c r="J427" s="257">
        <v>0.16333360894119847</v>
      </c>
      <c r="K427" s="255">
        <v>0</v>
      </c>
      <c r="L427" s="256">
        <v>0</v>
      </c>
      <c r="M427" s="256">
        <v>0</v>
      </c>
      <c r="N427" s="256">
        <v>0</v>
      </c>
      <c r="O427" s="255">
        <v>0</v>
      </c>
      <c r="P427" s="255">
        <v>0</v>
      </c>
      <c r="Q427" s="256">
        <v>0</v>
      </c>
      <c r="R427" s="258">
        <v>0</v>
      </c>
      <c r="S427" s="15"/>
      <c r="T427" s="15"/>
      <c r="U427" s="15"/>
      <c r="V427" s="15"/>
    </row>
    <row r="428" spans="1:22">
      <c r="A428" s="253"/>
      <c r="B428" s="317" t="s">
        <v>117</v>
      </c>
      <c r="C428" s="318">
        <v>0.34901203799195257</v>
      </c>
      <c r="D428" s="319">
        <v>0</v>
      </c>
      <c r="E428" s="331">
        <v>5.6325941056354125</v>
      </c>
      <c r="F428" s="331">
        <v>7.9967533561288233</v>
      </c>
      <c r="G428" s="319">
        <v>2.6456579204330311</v>
      </c>
      <c r="H428" s="331">
        <v>-3.3697226712460946</v>
      </c>
      <c r="I428" s="319">
        <v>0</v>
      </c>
      <c r="J428" s="320">
        <v>1.6257030175940879</v>
      </c>
      <c r="K428" s="318">
        <v>0</v>
      </c>
      <c r="L428" s="319">
        <v>0</v>
      </c>
      <c r="M428" s="319">
        <v>0</v>
      </c>
      <c r="N428" s="319">
        <v>0</v>
      </c>
      <c r="O428" s="318">
        <v>0</v>
      </c>
      <c r="P428" s="321">
        <v>0</v>
      </c>
      <c r="Q428" s="319">
        <v>0</v>
      </c>
      <c r="R428" s="322">
        <v>0</v>
      </c>
      <c r="S428" s="15"/>
      <c r="T428" s="15"/>
      <c r="U428" s="15"/>
      <c r="V428" s="15"/>
    </row>
    <row r="429" spans="1:22">
      <c r="A429" s="253"/>
      <c r="B429" s="234" t="s">
        <v>118</v>
      </c>
      <c r="C429" s="249">
        <v>2.4901758883728751E-3</v>
      </c>
      <c r="D429" s="250">
        <v>0</v>
      </c>
      <c r="E429" s="250">
        <v>0</v>
      </c>
      <c r="F429" s="250">
        <v>0</v>
      </c>
      <c r="G429" s="250">
        <v>0</v>
      </c>
      <c r="H429" s="250">
        <v>2.0468501250852852E-3</v>
      </c>
      <c r="I429" s="250">
        <v>0</v>
      </c>
      <c r="J429" s="251">
        <v>1.7779053845134501E-3</v>
      </c>
      <c r="K429" s="249">
        <v>0</v>
      </c>
      <c r="L429" s="250">
        <v>0</v>
      </c>
      <c r="M429" s="250">
        <v>0</v>
      </c>
      <c r="N429" s="250">
        <v>0</v>
      </c>
      <c r="O429" s="249">
        <v>0</v>
      </c>
      <c r="P429" s="249">
        <v>0</v>
      </c>
      <c r="Q429" s="250">
        <v>0</v>
      </c>
      <c r="R429" s="252">
        <v>0</v>
      </c>
      <c r="S429" s="15"/>
      <c r="T429" s="15"/>
      <c r="U429" s="15"/>
      <c r="V429" s="15"/>
    </row>
    <row r="430" spans="1:22">
      <c r="A430" s="253"/>
      <c r="B430" s="254" t="s">
        <v>119</v>
      </c>
      <c r="C430" s="255">
        <v>8.9005744451207968E-4</v>
      </c>
      <c r="D430" s="256">
        <v>0</v>
      </c>
      <c r="E430" s="256">
        <v>0</v>
      </c>
      <c r="F430" s="256">
        <v>0</v>
      </c>
      <c r="G430" s="256">
        <v>0</v>
      </c>
      <c r="H430" s="256">
        <v>0</v>
      </c>
      <c r="I430" s="256">
        <v>0</v>
      </c>
      <c r="J430" s="257">
        <v>6.2551002433737274E-4</v>
      </c>
      <c r="K430" s="255">
        <v>0</v>
      </c>
      <c r="L430" s="256">
        <v>0</v>
      </c>
      <c r="M430" s="256">
        <v>0</v>
      </c>
      <c r="N430" s="256">
        <v>0</v>
      </c>
      <c r="O430" s="255">
        <v>0</v>
      </c>
      <c r="P430" s="255">
        <v>0</v>
      </c>
      <c r="Q430" s="256">
        <v>0</v>
      </c>
      <c r="R430" s="258">
        <v>0</v>
      </c>
      <c r="S430" s="15"/>
      <c r="T430" s="15"/>
      <c r="U430" s="15"/>
      <c r="V430" s="15"/>
    </row>
    <row r="431" spans="1:22">
      <c r="A431" s="253"/>
      <c r="B431" s="317" t="s">
        <v>120</v>
      </c>
      <c r="C431" s="318">
        <v>-0.16001184438607954</v>
      </c>
      <c r="D431" s="319">
        <v>0</v>
      </c>
      <c r="E431" s="319">
        <v>0</v>
      </c>
      <c r="F431" s="319">
        <v>0</v>
      </c>
      <c r="G431" s="319">
        <v>0</v>
      </c>
      <c r="H431" s="319">
        <v>-0.20468501250852852</v>
      </c>
      <c r="I431" s="319">
        <v>0</v>
      </c>
      <c r="J431" s="320">
        <v>-0.11523953601760774</v>
      </c>
      <c r="K431" s="318">
        <v>0</v>
      </c>
      <c r="L431" s="319">
        <v>0</v>
      </c>
      <c r="M431" s="319">
        <v>0</v>
      </c>
      <c r="N431" s="319">
        <v>0</v>
      </c>
      <c r="O431" s="318">
        <v>0</v>
      </c>
      <c r="P431" s="321">
        <v>0</v>
      </c>
      <c r="Q431" s="319">
        <v>0</v>
      </c>
      <c r="R431" s="322">
        <v>0</v>
      </c>
      <c r="S431" s="15"/>
      <c r="T431" s="15"/>
      <c r="U431" s="15"/>
      <c r="V431" s="15"/>
    </row>
    <row r="432" spans="1:22">
      <c r="A432" s="253"/>
      <c r="B432" s="234" t="s">
        <v>121</v>
      </c>
      <c r="C432" s="249">
        <v>1.1830962237585896E-2</v>
      </c>
      <c r="D432" s="250">
        <v>0</v>
      </c>
      <c r="E432" s="250">
        <v>3.7925632780938245E-3</v>
      </c>
      <c r="F432" s="250">
        <v>0</v>
      </c>
      <c r="G432" s="250">
        <v>0</v>
      </c>
      <c r="H432" s="250">
        <v>1.2281100750511713E-2</v>
      </c>
      <c r="I432" s="250">
        <v>0</v>
      </c>
      <c r="J432" s="251">
        <v>8.996274864908638E-3</v>
      </c>
      <c r="K432" s="249">
        <v>0</v>
      </c>
      <c r="L432" s="250">
        <v>0</v>
      </c>
      <c r="M432" s="250">
        <v>0</v>
      </c>
      <c r="N432" s="250">
        <v>0</v>
      </c>
      <c r="O432" s="249">
        <v>0</v>
      </c>
      <c r="P432" s="249">
        <v>0</v>
      </c>
      <c r="Q432" s="250">
        <v>0</v>
      </c>
      <c r="R432" s="252">
        <v>0</v>
      </c>
      <c r="S432" s="15"/>
      <c r="T432" s="15"/>
      <c r="U432" s="15"/>
      <c r="V432" s="15"/>
    </row>
    <row r="433" spans="1:22">
      <c r="A433" s="253"/>
      <c r="B433" s="254" t="s">
        <v>122</v>
      </c>
      <c r="C433" s="255">
        <v>9.7906318896328771E-3</v>
      </c>
      <c r="D433" s="256">
        <v>0</v>
      </c>
      <c r="E433" s="256">
        <v>2.2319056222765438E-3</v>
      </c>
      <c r="F433" s="256">
        <v>0</v>
      </c>
      <c r="G433" s="256">
        <v>6.5510129807109059E-3</v>
      </c>
      <c r="H433" s="256">
        <v>1.4107688690336232E-3</v>
      </c>
      <c r="I433" s="256">
        <v>0</v>
      </c>
      <c r="J433" s="257">
        <v>7.7865213374410892E-3</v>
      </c>
      <c r="K433" s="255">
        <v>0</v>
      </c>
      <c r="L433" s="256">
        <v>0</v>
      </c>
      <c r="M433" s="256">
        <v>0</v>
      </c>
      <c r="N433" s="256">
        <v>0</v>
      </c>
      <c r="O433" s="255">
        <v>0</v>
      </c>
      <c r="P433" s="255">
        <v>0</v>
      </c>
      <c r="Q433" s="256">
        <v>0</v>
      </c>
      <c r="R433" s="258">
        <v>0</v>
      </c>
      <c r="S433" s="15"/>
      <c r="T433" s="15"/>
      <c r="U433" s="15"/>
      <c r="V433" s="15"/>
    </row>
    <row r="434" spans="1:22">
      <c r="A434" s="253"/>
      <c r="B434" s="317" t="s">
        <v>123</v>
      </c>
      <c r="C434" s="318">
        <v>-0.20403303479530188</v>
      </c>
      <c r="D434" s="319">
        <v>0</v>
      </c>
      <c r="E434" s="319">
        <v>-0.15606576558172808</v>
      </c>
      <c r="F434" s="319">
        <v>0</v>
      </c>
      <c r="G434" s="319">
        <v>0</v>
      </c>
      <c r="H434" s="319">
        <v>-1.087033188147809</v>
      </c>
      <c r="I434" s="319">
        <v>0</v>
      </c>
      <c r="J434" s="320">
        <v>-0.12097535274675489</v>
      </c>
      <c r="K434" s="318">
        <v>0</v>
      </c>
      <c r="L434" s="319">
        <v>0</v>
      </c>
      <c r="M434" s="319">
        <v>0</v>
      </c>
      <c r="N434" s="319">
        <v>0</v>
      </c>
      <c r="O434" s="318">
        <v>0</v>
      </c>
      <c r="P434" s="321">
        <v>0</v>
      </c>
      <c r="Q434" s="319">
        <v>0</v>
      </c>
      <c r="R434" s="322">
        <v>0</v>
      </c>
      <c r="S434" s="15"/>
      <c r="T434" s="15"/>
      <c r="U434" s="15"/>
      <c r="V434" s="15"/>
    </row>
    <row r="435" spans="1:22">
      <c r="A435" s="253"/>
      <c r="B435" s="234" t="s">
        <v>124</v>
      </c>
      <c r="C435" s="249">
        <v>0</v>
      </c>
      <c r="D435" s="250">
        <v>0</v>
      </c>
      <c r="E435" s="250">
        <v>0</v>
      </c>
      <c r="F435" s="250">
        <v>0</v>
      </c>
      <c r="G435" s="250">
        <v>0</v>
      </c>
      <c r="H435" s="250">
        <v>0</v>
      </c>
      <c r="I435" s="250">
        <v>0</v>
      </c>
      <c r="J435" s="251">
        <v>0</v>
      </c>
      <c r="K435" s="249">
        <v>0</v>
      </c>
      <c r="L435" s="250">
        <v>0</v>
      </c>
      <c r="M435" s="250">
        <v>0</v>
      </c>
      <c r="N435" s="250">
        <v>0</v>
      </c>
      <c r="O435" s="249">
        <v>0</v>
      </c>
      <c r="P435" s="249">
        <v>0</v>
      </c>
      <c r="Q435" s="250">
        <v>0</v>
      </c>
      <c r="R435" s="252">
        <v>0</v>
      </c>
      <c r="S435" s="15"/>
      <c r="T435" s="15"/>
      <c r="U435" s="15"/>
      <c r="V435" s="15"/>
    </row>
    <row r="436" spans="1:22">
      <c r="A436" s="253"/>
      <c r="B436" s="254" t="s">
        <v>125</v>
      </c>
      <c r="C436" s="255">
        <v>0</v>
      </c>
      <c r="D436" s="256">
        <v>0</v>
      </c>
      <c r="E436" s="256">
        <v>0</v>
      </c>
      <c r="F436" s="256">
        <v>0</v>
      </c>
      <c r="G436" s="256">
        <v>0</v>
      </c>
      <c r="H436" s="256">
        <v>0</v>
      </c>
      <c r="I436" s="256">
        <v>0</v>
      </c>
      <c r="J436" s="257">
        <v>0</v>
      </c>
      <c r="K436" s="255">
        <v>0</v>
      </c>
      <c r="L436" s="256">
        <v>0</v>
      </c>
      <c r="M436" s="256">
        <v>0</v>
      </c>
      <c r="N436" s="256">
        <v>0</v>
      </c>
      <c r="O436" s="255">
        <v>0</v>
      </c>
      <c r="P436" s="255">
        <v>0</v>
      </c>
      <c r="Q436" s="256">
        <v>0</v>
      </c>
      <c r="R436" s="258">
        <v>0</v>
      </c>
      <c r="S436" s="15"/>
      <c r="T436" s="15"/>
      <c r="U436" s="15"/>
      <c r="V436" s="15"/>
    </row>
    <row r="437" spans="1:22">
      <c r="A437" s="260"/>
      <c r="B437" s="317" t="s">
        <v>126</v>
      </c>
      <c r="C437" s="318">
        <v>0</v>
      </c>
      <c r="D437" s="319">
        <v>0</v>
      </c>
      <c r="E437" s="319">
        <v>0</v>
      </c>
      <c r="F437" s="319">
        <v>0</v>
      </c>
      <c r="G437" s="319">
        <v>0</v>
      </c>
      <c r="H437" s="319">
        <v>0</v>
      </c>
      <c r="I437" s="319">
        <v>0</v>
      </c>
      <c r="J437" s="320">
        <v>0</v>
      </c>
      <c r="K437" s="318">
        <v>0</v>
      </c>
      <c r="L437" s="319">
        <v>0</v>
      </c>
      <c r="M437" s="319">
        <v>0</v>
      </c>
      <c r="N437" s="319">
        <v>0</v>
      </c>
      <c r="O437" s="318">
        <v>0</v>
      </c>
      <c r="P437" s="321">
        <v>0</v>
      </c>
      <c r="Q437" s="319">
        <v>0</v>
      </c>
      <c r="R437" s="322">
        <v>0</v>
      </c>
      <c r="S437" s="15"/>
      <c r="T437" s="15"/>
      <c r="U437" s="15"/>
      <c r="V437" s="15"/>
    </row>
    <row r="438" spans="1:22">
      <c r="A438" s="248" t="s">
        <v>82</v>
      </c>
      <c r="B438" s="234" t="s">
        <v>91</v>
      </c>
      <c r="C438" s="249">
        <v>0.84754477355785729</v>
      </c>
      <c r="D438" s="250">
        <v>0.84570303934037983</v>
      </c>
      <c r="E438" s="250">
        <v>0.8262824351207676</v>
      </c>
      <c r="F438" s="250">
        <v>0</v>
      </c>
      <c r="G438" s="250">
        <v>0.93094078603726005</v>
      </c>
      <c r="H438" s="250">
        <v>0</v>
      </c>
      <c r="I438" s="250">
        <v>0</v>
      </c>
      <c r="J438" s="251">
        <v>0.84094494943662668</v>
      </c>
      <c r="K438" s="249">
        <v>0</v>
      </c>
      <c r="L438" s="250">
        <v>0.50879430019735628</v>
      </c>
      <c r="M438" s="250">
        <v>0.56625383360811221</v>
      </c>
      <c r="N438" s="250">
        <v>0</v>
      </c>
      <c r="O438" s="249">
        <v>0.53490209029431057</v>
      </c>
      <c r="P438" s="249">
        <v>0</v>
      </c>
      <c r="Q438" s="250">
        <v>0</v>
      </c>
      <c r="R438" s="252">
        <v>0</v>
      </c>
      <c r="S438" s="15"/>
      <c r="T438" s="15"/>
      <c r="U438" s="15"/>
      <c r="V438" s="15"/>
    </row>
    <row r="439" spans="1:22">
      <c r="A439" s="253"/>
      <c r="B439" s="254" t="s">
        <v>92</v>
      </c>
      <c r="C439" s="255">
        <v>0.83239063037609207</v>
      </c>
      <c r="D439" s="256">
        <v>0.78482449295843815</v>
      </c>
      <c r="E439" s="256">
        <v>0.8155437169851566</v>
      </c>
      <c r="F439" s="256">
        <v>0</v>
      </c>
      <c r="G439" s="256">
        <v>0.81983120304419943</v>
      </c>
      <c r="H439" s="256">
        <v>0</v>
      </c>
      <c r="I439" s="256">
        <v>0</v>
      </c>
      <c r="J439" s="257">
        <v>0.81993622363496932</v>
      </c>
      <c r="K439" s="255">
        <v>0</v>
      </c>
      <c r="L439" s="256">
        <v>0.43373632668624074</v>
      </c>
      <c r="M439" s="256">
        <v>0.42135097794874571</v>
      </c>
      <c r="N439" s="256">
        <v>0</v>
      </c>
      <c r="O439" s="255">
        <v>0.42820810267843085</v>
      </c>
      <c r="P439" s="255">
        <v>0</v>
      </c>
      <c r="Q439" s="256">
        <v>0</v>
      </c>
      <c r="R439" s="258">
        <v>0</v>
      </c>
      <c r="S439" s="15"/>
      <c r="T439" s="15"/>
      <c r="U439" s="15"/>
      <c r="V439" s="15"/>
    </row>
    <row r="440" spans="1:22">
      <c r="A440" s="253"/>
      <c r="B440" s="317" t="s">
        <v>93</v>
      </c>
      <c r="C440" s="318">
        <v>-1.5154143181765223</v>
      </c>
      <c r="D440" s="319">
        <v>-6.0878546381941678</v>
      </c>
      <c r="E440" s="319">
        <v>-1.0738718135611003</v>
      </c>
      <c r="F440" s="319">
        <v>0</v>
      </c>
      <c r="G440" s="331">
        <v>-11.110958299306063</v>
      </c>
      <c r="H440" s="319">
        <v>0</v>
      </c>
      <c r="I440" s="319">
        <v>0</v>
      </c>
      <c r="J440" s="320">
        <v>-2.1008725801657357</v>
      </c>
      <c r="K440" s="318">
        <v>0</v>
      </c>
      <c r="L440" s="319">
        <v>-7.5057973511115534</v>
      </c>
      <c r="M440" s="331">
        <v>-14.490285565936651</v>
      </c>
      <c r="N440" s="319">
        <v>0</v>
      </c>
      <c r="O440" s="318">
        <v>-10.669398761587972</v>
      </c>
      <c r="P440" s="321">
        <v>0</v>
      </c>
      <c r="Q440" s="319">
        <v>0</v>
      </c>
      <c r="R440" s="322">
        <v>0</v>
      </c>
      <c r="S440" s="15"/>
      <c r="T440" s="15"/>
      <c r="U440" s="15"/>
      <c r="V440" s="15"/>
    </row>
    <row r="441" spans="1:22">
      <c r="A441" s="253"/>
      <c r="B441" s="234" t="s">
        <v>94</v>
      </c>
      <c r="C441" s="249">
        <v>8.8527469864922159E-3</v>
      </c>
      <c r="D441" s="250">
        <v>7.8176395772115256E-2</v>
      </c>
      <c r="E441" s="250">
        <v>2.9901059058277876E-2</v>
      </c>
      <c r="F441" s="250">
        <v>0</v>
      </c>
      <c r="G441" s="250">
        <v>6.9855908997377763E-3</v>
      </c>
      <c r="H441" s="250">
        <v>0</v>
      </c>
      <c r="I441" s="250">
        <v>0</v>
      </c>
      <c r="J441" s="251">
        <v>2.4494448752000263E-2</v>
      </c>
      <c r="K441" s="249">
        <v>0</v>
      </c>
      <c r="L441" s="250">
        <v>0.27086149357784961</v>
      </c>
      <c r="M441" s="250">
        <v>0.18737258238933505</v>
      </c>
      <c r="N441" s="250">
        <v>0</v>
      </c>
      <c r="O441" s="249">
        <v>0.23292677953916968</v>
      </c>
      <c r="P441" s="249">
        <v>0</v>
      </c>
      <c r="Q441" s="250">
        <v>0</v>
      </c>
      <c r="R441" s="252">
        <v>0</v>
      </c>
      <c r="S441" s="15"/>
      <c r="T441" s="15"/>
      <c r="U441" s="15"/>
      <c r="V441" s="15"/>
    </row>
    <row r="442" spans="1:22">
      <c r="A442" s="253"/>
      <c r="B442" s="254" t="s">
        <v>95</v>
      </c>
      <c r="C442" s="255">
        <v>1.7127944846870694E-2</v>
      </c>
      <c r="D442" s="256">
        <v>0.13307760723308362</v>
      </c>
      <c r="E442" s="256">
        <v>2.0921975964801914E-2</v>
      </c>
      <c r="F442" s="256">
        <v>0</v>
      </c>
      <c r="G442" s="256">
        <v>0.10237584154551664</v>
      </c>
      <c r="H442" s="256">
        <v>0</v>
      </c>
      <c r="I442" s="256">
        <v>0</v>
      </c>
      <c r="J442" s="257">
        <v>3.1484922630136962E-2</v>
      </c>
      <c r="K442" s="255">
        <v>0</v>
      </c>
      <c r="L442" s="256">
        <v>0.34105786551387907</v>
      </c>
      <c r="M442" s="256">
        <v>0.3264885951129653</v>
      </c>
      <c r="N442" s="256">
        <v>0</v>
      </c>
      <c r="O442" s="255">
        <v>0.33455484391039569</v>
      </c>
      <c r="P442" s="255">
        <v>0</v>
      </c>
      <c r="Q442" s="256">
        <v>0</v>
      </c>
      <c r="R442" s="258">
        <v>0</v>
      </c>
      <c r="S442" s="15"/>
      <c r="T442" s="15"/>
      <c r="U442" s="15"/>
      <c r="V442" s="15"/>
    </row>
    <row r="443" spans="1:22">
      <c r="A443" s="253"/>
      <c r="B443" s="317" t="s">
        <v>96</v>
      </c>
      <c r="C443" s="318">
        <v>0.82751978603784782</v>
      </c>
      <c r="D443" s="319">
        <v>5.4901211460968362</v>
      </c>
      <c r="E443" s="319">
        <v>-0.89790830934759613</v>
      </c>
      <c r="F443" s="319">
        <v>0</v>
      </c>
      <c r="G443" s="331">
        <v>9.5390250645778867</v>
      </c>
      <c r="H443" s="319">
        <v>0</v>
      </c>
      <c r="I443" s="319">
        <v>0</v>
      </c>
      <c r="J443" s="320">
        <v>0.69904738781366993</v>
      </c>
      <c r="K443" s="318">
        <v>0</v>
      </c>
      <c r="L443" s="319">
        <v>7.0196371936029456</v>
      </c>
      <c r="M443" s="331">
        <v>13.911601272363026</v>
      </c>
      <c r="N443" s="319">
        <v>0</v>
      </c>
      <c r="O443" s="318">
        <v>10.162806437122601</v>
      </c>
      <c r="P443" s="321">
        <v>0</v>
      </c>
      <c r="Q443" s="319">
        <v>0</v>
      </c>
      <c r="R443" s="322">
        <v>0</v>
      </c>
      <c r="S443" s="15"/>
      <c r="T443" s="15"/>
      <c r="U443" s="15"/>
      <c r="V443" s="15"/>
    </row>
    <row r="444" spans="1:22">
      <c r="A444" s="253"/>
      <c r="B444" s="234" t="s">
        <v>97</v>
      </c>
      <c r="C444" s="249">
        <v>4.3332929513194826E-2</v>
      </c>
      <c r="D444" s="250">
        <v>6.8730538134292349E-2</v>
      </c>
      <c r="E444" s="250">
        <v>0.10092611406709187</v>
      </c>
      <c r="F444" s="250">
        <v>0</v>
      </c>
      <c r="G444" s="250">
        <v>4.4060928703708591E-2</v>
      </c>
      <c r="H444" s="250">
        <v>0</v>
      </c>
      <c r="I444" s="250">
        <v>0</v>
      </c>
      <c r="J444" s="251">
        <v>7.6609861919923458E-2</v>
      </c>
      <c r="K444" s="249">
        <v>0</v>
      </c>
      <c r="L444" s="250">
        <v>0.15998586490279354</v>
      </c>
      <c r="M444" s="250">
        <v>0.1385051587512631</v>
      </c>
      <c r="N444" s="250">
        <v>0</v>
      </c>
      <c r="O444" s="249">
        <v>0.15022571312207034</v>
      </c>
      <c r="P444" s="249">
        <v>0</v>
      </c>
      <c r="Q444" s="250">
        <v>0</v>
      </c>
      <c r="R444" s="252">
        <v>0</v>
      </c>
      <c r="S444" s="15"/>
      <c r="T444" s="15"/>
      <c r="U444" s="15"/>
      <c r="V444" s="15"/>
    </row>
    <row r="445" spans="1:22">
      <c r="A445" s="253"/>
      <c r="B445" s="254" t="s">
        <v>98</v>
      </c>
      <c r="C445" s="255">
        <v>5.0797641391790022E-2</v>
      </c>
      <c r="D445" s="256">
        <v>7.4868090075244587E-2</v>
      </c>
      <c r="E445" s="256">
        <v>0.11817308763663124</v>
      </c>
      <c r="F445" s="256">
        <v>0</v>
      </c>
      <c r="G445" s="256">
        <v>6.7660259537515852E-2</v>
      </c>
      <c r="H445" s="256">
        <v>0</v>
      </c>
      <c r="I445" s="256">
        <v>0</v>
      </c>
      <c r="J445" s="257">
        <v>8.8699613946508465E-2</v>
      </c>
      <c r="K445" s="255">
        <v>0</v>
      </c>
      <c r="L445" s="256">
        <v>0.1671023290076499</v>
      </c>
      <c r="M445" s="256">
        <v>0.14715058424084809</v>
      </c>
      <c r="N445" s="256">
        <v>0</v>
      </c>
      <c r="O445" s="255">
        <v>0.15819682971527896</v>
      </c>
      <c r="P445" s="255">
        <v>0</v>
      </c>
      <c r="Q445" s="256">
        <v>0</v>
      </c>
      <c r="R445" s="258">
        <v>0</v>
      </c>
      <c r="S445" s="15"/>
      <c r="T445" s="15"/>
      <c r="U445" s="15"/>
      <c r="V445" s="15"/>
    </row>
    <row r="446" spans="1:22">
      <c r="A446" s="253"/>
      <c r="B446" s="317" t="s">
        <v>99</v>
      </c>
      <c r="C446" s="318">
        <v>0.7464711878595196</v>
      </c>
      <c r="D446" s="319">
        <v>0.61375519409522372</v>
      </c>
      <c r="E446" s="319">
        <v>1.7246973569539372</v>
      </c>
      <c r="F446" s="319">
        <v>0</v>
      </c>
      <c r="G446" s="319">
        <v>2.3599330833807262</v>
      </c>
      <c r="H446" s="319">
        <v>0</v>
      </c>
      <c r="I446" s="319">
        <v>0</v>
      </c>
      <c r="J446" s="320">
        <v>1.2089752026585008</v>
      </c>
      <c r="K446" s="318">
        <v>0</v>
      </c>
      <c r="L446" s="319">
        <v>0.71164641048563626</v>
      </c>
      <c r="M446" s="319">
        <v>0.86454254895849958</v>
      </c>
      <c r="N446" s="319">
        <v>0</v>
      </c>
      <c r="O446" s="318">
        <v>0.79711165932086214</v>
      </c>
      <c r="P446" s="321">
        <v>0</v>
      </c>
      <c r="Q446" s="319">
        <v>0</v>
      </c>
      <c r="R446" s="322">
        <v>0</v>
      </c>
      <c r="S446" s="15"/>
      <c r="T446" s="15"/>
      <c r="U446" s="15"/>
      <c r="V446" s="15"/>
    </row>
    <row r="447" spans="1:22">
      <c r="A447" s="253"/>
      <c r="B447" s="234" t="s">
        <v>100</v>
      </c>
      <c r="C447" s="249">
        <v>1.1710784016798917E-3</v>
      </c>
      <c r="D447" s="250">
        <v>9.374588833823078E-4</v>
      </c>
      <c r="E447" s="250">
        <v>7.5396989514909469E-3</v>
      </c>
      <c r="F447" s="250">
        <v>0</v>
      </c>
      <c r="G447" s="250">
        <v>1.6836118248537195E-2</v>
      </c>
      <c r="H447" s="250">
        <v>0</v>
      </c>
      <c r="I447" s="250">
        <v>0</v>
      </c>
      <c r="J447" s="251">
        <v>5.642311562762921E-3</v>
      </c>
      <c r="K447" s="249">
        <v>0</v>
      </c>
      <c r="L447" s="250">
        <v>5.134583286816069E-3</v>
      </c>
      <c r="M447" s="250">
        <v>3.8153264549983155E-2</v>
      </c>
      <c r="N447" s="250">
        <v>0</v>
      </c>
      <c r="O447" s="249">
        <v>2.0137225120584221E-2</v>
      </c>
      <c r="P447" s="249">
        <v>0</v>
      </c>
      <c r="Q447" s="250">
        <v>0</v>
      </c>
      <c r="R447" s="252">
        <v>0</v>
      </c>
      <c r="S447" s="15"/>
      <c r="T447" s="15"/>
      <c r="U447" s="15"/>
      <c r="V447" s="15"/>
    </row>
    <row r="448" spans="1:22">
      <c r="A448" s="253"/>
      <c r="B448" s="254" t="s">
        <v>101</v>
      </c>
      <c r="C448" s="255">
        <v>1.3653567130948632E-4</v>
      </c>
      <c r="D448" s="256">
        <v>0</v>
      </c>
      <c r="E448" s="256">
        <v>5.346747453046214E-3</v>
      </c>
      <c r="F448" s="256">
        <v>0</v>
      </c>
      <c r="G448" s="256">
        <v>8.5764464825836672E-3</v>
      </c>
      <c r="H448" s="256">
        <v>0</v>
      </c>
      <c r="I448" s="256">
        <v>0</v>
      </c>
      <c r="J448" s="257">
        <v>3.4176514738159017E-3</v>
      </c>
      <c r="K448" s="255">
        <v>0</v>
      </c>
      <c r="L448" s="256">
        <v>3.0439488889586557E-3</v>
      </c>
      <c r="M448" s="256">
        <v>3.7212620324718719E-2</v>
      </c>
      <c r="N448" s="256">
        <v>0</v>
      </c>
      <c r="O448" s="255">
        <v>1.8295200488704994E-2</v>
      </c>
      <c r="P448" s="255">
        <v>0</v>
      </c>
      <c r="Q448" s="256">
        <v>0</v>
      </c>
      <c r="R448" s="258">
        <v>0</v>
      </c>
      <c r="S448" s="15"/>
      <c r="T448" s="15"/>
      <c r="U448" s="15"/>
      <c r="V448" s="15"/>
    </row>
    <row r="449" spans="1:22">
      <c r="A449" s="253"/>
      <c r="B449" s="317" t="s">
        <v>102</v>
      </c>
      <c r="C449" s="318">
        <v>-0.10345427303704055</v>
      </c>
      <c r="D449" s="319">
        <v>-9.3745888338230776E-2</v>
      </c>
      <c r="E449" s="319">
        <v>-0.21929514984447329</v>
      </c>
      <c r="F449" s="319">
        <v>0</v>
      </c>
      <c r="G449" s="319">
        <v>-0.82596717659535279</v>
      </c>
      <c r="H449" s="319">
        <v>0</v>
      </c>
      <c r="I449" s="319">
        <v>0</v>
      </c>
      <c r="J449" s="320">
        <v>-0.22246600889470192</v>
      </c>
      <c r="K449" s="318">
        <v>0</v>
      </c>
      <c r="L449" s="319">
        <v>-0.20906343978574132</v>
      </c>
      <c r="M449" s="319">
        <v>-9.4064422526443647E-2</v>
      </c>
      <c r="N449" s="319">
        <v>0</v>
      </c>
      <c r="O449" s="318">
        <v>-0.18420246318792272</v>
      </c>
      <c r="P449" s="321">
        <v>0</v>
      </c>
      <c r="Q449" s="319">
        <v>0</v>
      </c>
      <c r="R449" s="322">
        <v>0</v>
      </c>
      <c r="S449" s="15"/>
      <c r="T449" s="15"/>
      <c r="U449" s="15"/>
      <c r="V449" s="15"/>
    </row>
    <row r="450" spans="1:22">
      <c r="A450" s="253"/>
      <c r="B450" s="234" t="s">
        <v>103</v>
      </c>
      <c r="C450" s="249">
        <v>9.5790175056030047E-2</v>
      </c>
      <c r="D450" s="250">
        <v>3.6785667295294068E-3</v>
      </c>
      <c r="E450" s="250">
        <v>2.8354039184377077E-2</v>
      </c>
      <c r="F450" s="250">
        <v>0</v>
      </c>
      <c r="G450" s="250">
        <v>2.690824289173917E-4</v>
      </c>
      <c r="H450" s="250">
        <v>0</v>
      </c>
      <c r="I450" s="250">
        <v>0</v>
      </c>
      <c r="J450" s="251">
        <v>4.7152119042512826E-2</v>
      </c>
      <c r="K450" s="249">
        <v>0</v>
      </c>
      <c r="L450" s="250">
        <v>5.4225443728565539E-2</v>
      </c>
      <c r="M450" s="250">
        <v>6.7165700508784065E-2</v>
      </c>
      <c r="N450" s="250">
        <v>0</v>
      </c>
      <c r="O450" s="249">
        <v>6.0105086109291772E-2</v>
      </c>
      <c r="P450" s="249">
        <v>0</v>
      </c>
      <c r="Q450" s="250">
        <v>0</v>
      </c>
      <c r="R450" s="252">
        <v>0</v>
      </c>
      <c r="S450" s="15"/>
      <c r="T450" s="15"/>
      <c r="U450" s="15"/>
      <c r="V450" s="15"/>
    </row>
    <row r="451" spans="1:22">
      <c r="A451" s="253"/>
      <c r="B451" s="254" t="s">
        <v>104</v>
      </c>
      <c r="C451" s="255">
        <v>9.3076367131676815E-2</v>
      </c>
      <c r="D451" s="256">
        <v>5.0526821229995257E-3</v>
      </c>
      <c r="E451" s="256">
        <v>3.2295059735435692E-2</v>
      </c>
      <c r="F451" s="256">
        <v>0</v>
      </c>
      <c r="G451" s="256">
        <v>4.5370280027319737E-4</v>
      </c>
      <c r="H451" s="256">
        <v>0</v>
      </c>
      <c r="I451" s="256">
        <v>0</v>
      </c>
      <c r="J451" s="257">
        <v>4.9937494717790402E-2</v>
      </c>
      <c r="K451" s="255">
        <v>0</v>
      </c>
      <c r="L451" s="256">
        <v>5.3563490449325984E-2</v>
      </c>
      <c r="M451" s="256">
        <v>6.4991150602300846E-2</v>
      </c>
      <c r="N451" s="256">
        <v>0</v>
      </c>
      <c r="O451" s="255">
        <v>5.8664248332672073E-2</v>
      </c>
      <c r="P451" s="255">
        <v>0</v>
      </c>
      <c r="Q451" s="256">
        <v>0</v>
      </c>
      <c r="R451" s="258">
        <v>0</v>
      </c>
      <c r="S451" s="15"/>
      <c r="T451" s="15"/>
      <c r="U451" s="15"/>
      <c r="V451" s="15"/>
    </row>
    <row r="452" spans="1:22">
      <c r="A452" s="253"/>
      <c r="B452" s="317" t="s">
        <v>105</v>
      </c>
      <c r="C452" s="318">
        <v>-0.27138079243532315</v>
      </c>
      <c r="D452" s="319">
        <v>0.13741153934701189</v>
      </c>
      <c r="E452" s="319">
        <v>0.39410205510586155</v>
      </c>
      <c r="F452" s="319">
        <v>0</v>
      </c>
      <c r="G452" s="319">
        <v>1.8462037135580568E-2</v>
      </c>
      <c r="H452" s="319">
        <v>0</v>
      </c>
      <c r="I452" s="319">
        <v>0</v>
      </c>
      <c r="J452" s="320">
        <v>0.27853756752775766</v>
      </c>
      <c r="K452" s="318">
        <v>0</v>
      </c>
      <c r="L452" s="319">
        <v>-6.6195327923955494E-2</v>
      </c>
      <c r="M452" s="319">
        <v>-0.21745499064832197</v>
      </c>
      <c r="N452" s="319">
        <v>0</v>
      </c>
      <c r="O452" s="318">
        <v>-0.14408377766196995</v>
      </c>
      <c r="P452" s="321">
        <v>0</v>
      </c>
      <c r="Q452" s="319">
        <v>0</v>
      </c>
      <c r="R452" s="322">
        <v>0</v>
      </c>
      <c r="S452" s="15"/>
      <c r="T452" s="15"/>
      <c r="U452" s="15"/>
      <c r="V452" s="15"/>
    </row>
    <row r="453" spans="1:22">
      <c r="A453" s="253"/>
      <c r="B453" s="234" t="s">
        <v>106</v>
      </c>
      <c r="C453" s="249">
        <v>3.3082964847456942E-3</v>
      </c>
      <c r="D453" s="250">
        <v>2.7740011403008641E-3</v>
      </c>
      <c r="E453" s="250">
        <v>6.9966536179945802E-3</v>
      </c>
      <c r="F453" s="250">
        <v>0</v>
      </c>
      <c r="G453" s="250">
        <v>9.0749368183904648E-4</v>
      </c>
      <c r="H453" s="250">
        <v>0</v>
      </c>
      <c r="I453" s="250">
        <v>0</v>
      </c>
      <c r="J453" s="251">
        <v>5.1563092861738455E-3</v>
      </c>
      <c r="K453" s="249">
        <v>0</v>
      </c>
      <c r="L453" s="250">
        <v>9.9831430661904519E-4</v>
      </c>
      <c r="M453" s="250">
        <v>2.5494601925224697E-3</v>
      </c>
      <c r="N453" s="250">
        <v>0</v>
      </c>
      <c r="O453" s="249">
        <v>1.7031058145734106E-3</v>
      </c>
      <c r="P453" s="249">
        <v>0</v>
      </c>
      <c r="Q453" s="250">
        <v>0</v>
      </c>
      <c r="R453" s="252">
        <v>0</v>
      </c>
      <c r="S453" s="15"/>
      <c r="T453" s="15"/>
      <c r="U453" s="15"/>
      <c r="V453" s="15"/>
    </row>
    <row r="454" spans="1:22">
      <c r="A454" s="253"/>
      <c r="B454" s="254" t="s">
        <v>107</v>
      </c>
      <c r="C454" s="255">
        <v>6.4708805822609218E-3</v>
      </c>
      <c r="D454" s="256">
        <v>2.1771276102341367E-3</v>
      </c>
      <c r="E454" s="256">
        <v>7.7194122249283521E-3</v>
      </c>
      <c r="F454" s="256">
        <v>0</v>
      </c>
      <c r="G454" s="256">
        <v>1.1025465899112108E-3</v>
      </c>
      <c r="H454" s="256">
        <v>0</v>
      </c>
      <c r="I454" s="256">
        <v>0</v>
      </c>
      <c r="J454" s="257">
        <v>6.5240935967790037E-3</v>
      </c>
      <c r="K454" s="255">
        <v>0</v>
      </c>
      <c r="L454" s="256">
        <v>1.4960394539455992E-3</v>
      </c>
      <c r="M454" s="256">
        <v>2.8060717704213398E-3</v>
      </c>
      <c r="N454" s="256">
        <v>0</v>
      </c>
      <c r="O454" s="255">
        <v>2.0807748745174351E-3</v>
      </c>
      <c r="P454" s="255">
        <v>0</v>
      </c>
      <c r="Q454" s="256">
        <v>0</v>
      </c>
      <c r="R454" s="258">
        <v>0</v>
      </c>
      <c r="S454" s="15"/>
      <c r="T454" s="15"/>
      <c r="U454" s="15"/>
      <c r="V454" s="15"/>
    </row>
    <row r="455" spans="1:22">
      <c r="A455" s="253"/>
      <c r="B455" s="317" t="s">
        <v>108</v>
      </c>
      <c r="C455" s="318">
        <v>0.31625840975152275</v>
      </c>
      <c r="D455" s="319">
        <v>-5.9687353006672744E-2</v>
      </c>
      <c r="E455" s="319">
        <v>7.2275860693377186E-2</v>
      </c>
      <c r="F455" s="319">
        <v>0</v>
      </c>
      <c r="G455" s="319">
        <v>1.9505290807216438E-2</v>
      </c>
      <c r="H455" s="319">
        <v>0</v>
      </c>
      <c r="I455" s="319">
        <v>0</v>
      </c>
      <c r="J455" s="320">
        <v>0.13677843106051582</v>
      </c>
      <c r="K455" s="318">
        <v>0</v>
      </c>
      <c r="L455" s="319">
        <v>4.9772514732655405E-2</v>
      </c>
      <c r="M455" s="319">
        <v>2.5661157789887014E-2</v>
      </c>
      <c r="N455" s="319">
        <v>0</v>
      </c>
      <c r="O455" s="318">
        <v>3.7766905994402453E-2</v>
      </c>
      <c r="P455" s="321">
        <v>0</v>
      </c>
      <c r="Q455" s="319">
        <v>0</v>
      </c>
      <c r="R455" s="322">
        <v>0</v>
      </c>
      <c r="S455" s="15"/>
      <c r="T455" s="15"/>
      <c r="U455" s="15"/>
      <c r="V455" s="15"/>
    </row>
    <row r="456" spans="1:22">
      <c r="A456" s="253"/>
      <c r="B456" s="234" t="s">
        <v>109</v>
      </c>
      <c r="C456" s="249">
        <v>0.77258549417512212</v>
      </c>
      <c r="D456" s="250">
        <v>0.80326272218164108</v>
      </c>
      <c r="E456" s="250">
        <v>0.63774021399090408</v>
      </c>
      <c r="F456" s="250">
        <v>0</v>
      </c>
      <c r="G456" s="250">
        <v>0.40838951310861421</v>
      </c>
      <c r="H456" s="250">
        <v>0</v>
      </c>
      <c r="I456" s="250">
        <v>0</v>
      </c>
      <c r="J456" s="251">
        <v>0.71835320231259592</v>
      </c>
      <c r="K456" s="249">
        <v>0</v>
      </c>
      <c r="L456" s="250">
        <v>0</v>
      </c>
      <c r="M456" s="250">
        <v>0</v>
      </c>
      <c r="N456" s="250">
        <v>0</v>
      </c>
      <c r="O456" s="249">
        <v>0</v>
      </c>
      <c r="P456" s="249">
        <v>0</v>
      </c>
      <c r="Q456" s="250">
        <v>0</v>
      </c>
      <c r="R456" s="252">
        <v>0</v>
      </c>
      <c r="S456" s="15"/>
      <c r="T456" s="15"/>
      <c r="U456" s="15"/>
      <c r="V456" s="15"/>
    </row>
    <row r="457" spans="1:22">
      <c r="A457" s="253"/>
      <c r="B457" s="254" t="s">
        <v>110</v>
      </c>
      <c r="C457" s="255">
        <v>0.74088803361442268</v>
      </c>
      <c r="D457" s="256">
        <v>0.5097361707624245</v>
      </c>
      <c r="E457" s="256">
        <v>0.56933602816720352</v>
      </c>
      <c r="F457" s="256">
        <v>0</v>
      </c>
      <c r="G457" s="256">
        <v>0.29943268299432685</v>
      </c>
      <c r="H457" s="256">
        <v>0</v>
      </c>
      <c r="I457" s="256">
        <v>0</v>
      </c>
      <c r="J457" s="257">
        <v>0.6417660140411533</v>
      </c>
      <c r="K457" s="255">
        <v>0</v>
      </c>
      <c r="L457" s="256">
        <v>0</v>
      </c>
      <c r="M457" s="256">
        <v>0</v>
      </c>
      <c r="N457" s="256">
        <v>0</v>
      </c>
      <c r="O457" s="255">
        <v>0</v>
      </c>
      <c r="P457" s="255">
        <v>0</v>
      </c>
      <c r="Q457" s="256">
        <v>0</v>
      </c>
      <c r="R457" s="258">
        <v>0</v>
      </c>
      <c r="S457" s="15"/>
      <c r="T457" s="15"/>
      <c r="U457" s="15"/>
      <c r="V457" s="15"/>
    </row>
    <row r="458" spans="1:22">
      <c r="A458" s="253"/>
      <c r="B458" s="317" t="s">
        <v>111</v>
      </c>
      <c r="C458" s="318">
        <v>-3.1697460560699442</v>
      </c>
      <c r="D458" s="331">
        <v>-29.352655141921659</v>
      </c>
      <c r="E458" s="319">
        <v>-6.8404185823700558</v>
      </c>
      <c r="F458" s="319">
        <v>0</v>
      </c>
      <c r="G458" s="331">
        <v>-10.895683011428737</v>
      </c>
      <c r="H458" s="319">
        <v>0</v>
      </c>
      <c r="I458" s="319">
        <v>0</v>
      </c>
      <c r="J458" s="320">
        <v>-7.6587188271442619</v>
      </c>
      <c r="K458" s="318">
        <v>0</v>
      </c>
      <c r="L458" s="319">
        <v>0</v>
      </c>
      <c r="M458" s="319">
        <v>0</v>
      </c>
      <c r="N458" s="319">
        <v>0</v>
      </c>
      <c r="O458" s="318">
        <v>0</v>
      </c>
      <c r="P458" s="321">
        <v>0</v>
      </c>
      <c r="Q458" s="319">
        <v>0</v>
      </c>
      <c r="R458" s="322">
        <v>0</v>
      </c>
      <c r="S458" s="15"/>
      <c r="T458" s="15"/>
      <c r="U458" s="15"/>
      <c r="V458" s="15"/>
    </row>
    <row r="459" spans="1:22">
      <c r="A459" s="253"/>
      <c r="B459" s="234" t="s">
        <v>112</v>
      </c>
      <c r="C459" s="249">
        <v>5.3640548665915069E-2</v>
      </c>
      <c r="D459" s="250">
        <v>4.5258095933771607E-2</v>
      </c>
      <c r="E459" s="250">
        <v>8.0233444622624148E-2</v>
      </c>
      <c r="F459" s="250">
        <v>0</v>
      </c>
      <c r="G459" s="250">
        <v>7.9400749063670405E-3</v>
      </c>
      <c r="H459" s="250">
        <v>0</v>
      </c>
      <c r="I459" s="250">
        <v>0</v>
      </c>
      <c r="J459" s="251">
        <v>6.2207248737539148E-2</v>
      </c>
      <c r="K459" s="249">
        <v>0</v>
      </c>
      <c r="L459" s="250">
        <v>0</v>
      </c>
      <c r="M459" s="250">
        <v>0</v>
      </c>
      <c r="N459" s="250">
        <v>0</v>
      </c>
      <c r="O459" s="249">
        <v>0</v>
      </c>
      <c r="P459" s="249">
        <v>0</v>
      </c>
      <c r="Q459" s="250">
        <v>0</v>
      </c>
      <c r="R459" s="252">
        <v>0</v>
      </c>
      <c r="S459" s="15"/>
      <c r="T459" s="15"/>
      <c r="U459" s="15"/>
      <c r="V459" s="15"/>
    </row>
    <row r="460" spans="1:22">
      <c r="A460" s="253"/>
      <c r="B460" s="254" t="s">
        <v>113</v>
      </c>
      <c r="C460" s="255">
        <v>7.0910244245737516E-3</v>
      </c>
      <c r="D460" s="256">
        <v>0.29857590338101853</v>
      </c>
      <c r="E460" s="256">
        <v>5.1677962591325587E-2</v>
      </c>
      <c r="F460" s="256">
        <v>0</v>
      </c>
      <c r="G460" s="256">
        <v>2.0755500207555004E-3</v>
      </c>
      <c r="H460" s="256">
        <v>0</v>
      </c>
      <c r="I460" s="256">
        <v>0</v>
      </c>
      <c r="J460" s="257">
        <v>5.1024130906947289E-2</v>
      </c>
      <c r="K460" s="255">
        <v>0</v>
      </c>
      <c r="L460" s="256">
        <v>0</v>
      </c>
      <c r="M460" s="256">
        <v>0</v>
      </c>
      <c r="N460" s="256">
        <v>0</v>
      </c>
      <c r="O460" s="255">
        <v>0</v>
      </c>
      <c r="P460" s="255">
        <v>0</v>
      </c>
      <c r="Q460" s="256">
        <v>0</v>
      </c>
      <c r="R460" s="258">
        <v>0</v>
      </c>
      <c r="S460" s="15"/>
      <c r="T460" s="15"/>
      <c r="U460" s="15"/>
      <c r="V460" s="15"/>
    </row>
    <row r="461" spans="1:22">
      <c r="A461" s="253"/>
      <c r="B461" s="317" t="s">
        <v>114</v>
      </c>
      <c r="C461" s="318">
        <v>-4.654952424134132</v>
      </c>
      <c r="D461" s="331">
        <v>25.331780744724693</v>
      </c>
      <c r="E461" s="319">
        <v>-2.8555482031298562</v>
      </c>
      <c r="F461" s="319">
        <v>0</v>
      </c>
      <c r="G461" s="319">
        <v>-0.58645248856115406</v>
      </c>
      <c r="H461" s="319">
        <v>0</v>
      </c>
      <c r="I461" s="319">
        <v>0</v>
      </c>
      <c r="J461" s="320">
        <v>-1.1183117830591858</v>
      </c>
      <c r="K461" s="318">
        <v>0</v>
      </c>
      <c r="L461" s="319">
        <v>0</v>
      </c>
      <c r="M461" s="319">
        <v>0</v>
      </c>
      <c r="N461" s="319">
        <v>0</v>
      </c>
      <c r="O461" s="318">
        <v>0</v>
      </c>
      <c r="P461" s="321">
        <v>0</v>
      </c>
      <c r="Q461" s="319">
        <v>0</v>
      </c>
      <c r="R461" s="322">
        <v>0</v>
      </c>
      <c r="S461" s="15"/>
      <c r="T461" s="15"/>
      <c r="U461" s="15"/>
      <c r="V461" s="15"/>
    </row>
    <row r="462" spans="1:22">
      <c r="A462" s="253"/>
      <c r="B462" s="234" t="s">
        <v>115</v>
      </c>
      <c r="C462" s="249">
        <v>8.0834272829763243E-2</v>
      </c>
      <c r="D462" s="250">
        <v>5.5849768687606528E-2</v>
      </c>
      <c r="E462" s="250">
        <v>0.18831988222613633</v>
      </c>
      <c r="F462" s="250">
        <v>0</v>
      </c>
      <c r="G462" s="250">
        <v>0.49992509363295878</v>
      </c>
      <c r="H462" s="250">
        <v>0</v>
      </c>
      <c r="I462" s="250">
        <v>0</v>
      </c>
      <c r="J462" s="251">
        <v>0.12614474240360682</v>
      </c>
      <c r="K462" s="249">
        <v>0</v>
      </c>
      <c r="L462" s="250">
        <v>0</v>
      </c>
      <c r="M462" s="250">
        <v>0</v>
      </c>
      <c r="N462" s="250">
        <v>0</v>
      </c>
      <c r="O462" s="249">
        <v>0</v>
      </c>
      <c r="P462" s="249">
        <v>0</v>
      </c>
      <c r="Q462" s="250">
        <v>0</v>
      </c>
      <c r="R462" s="252">
        <v>0</v>
      </c>
      <c r="S462" s="15"/>
      <c r="T462" s="15"/>
      <c r="U462" s="15"/>
      <c r="V462" s="15"/>
    </row>
    <row r="463" spans="1:22">
      <c r="A463" s="253"/>
      <c r="B463" s="254" t="s">
        <v>116</v>
      </c>
      <c r="C463" s="255">
        <v>0.16237555845526036</v>
      </c>
      <c r="D463" s="256">
        <v>0.16062259824974973</v>
      </c>
      <c r="E463" s="256">
        <v>0.27792259732468699</v>
      </c>
      <c r="F463" s="256">
        <v>0</v>
      </c>
      <c r="G463" s="256">
        <v>0.69392555693925562</v>
      </c>
      <c r="H463" s="256">
        <v>0</v>
      </c>
      <c r="I463" s="256">
        <v>0</v>
      </c>
      <c r="J463" s="257">
        <v>0.21995864888147501</v>
      </c>
      <c r="K463" s="255">
        <v>0</v>
      </c>
      <c r="L463" s="256">
        <v>0</v>
      </c>
      <c r="M463" s="256">
        <v>0</v>
      </c>
      <c r="N463" s="256">
        <v>0</v>
      </c>
      <c r="O463" s="255">
        <v>0</v>
      </c>
      <c r="P463" s="255">
        <v>0</v>
      </c>
      <c r="Q463" s="256">
        <v>0</v>
      </c>
      <c r="R463" s="258">
        <v>0</v>
      </c>
      <c r="S463" s="15"/>
      <c r="T463" s="15"/>
      <c r="U463" s="15"/>
      <c r="V463" s="15"/>
    </row>
    <row r="464" spans="1:22">
      <c r="A464" s="253"/>
      <c r="B464" s="317" t="s">
        <v>117</v>
      </c>
      <c r="C464" s="318">
        <v>8.1541285625497117</v>
      </c>
      <c r="D464" s="319">
        <v>10.477282956214321</v>
      </c>
      <c r="E464" s="319">
        <v>8.9602715098550672</v>
      </c>
      <c r="F464" s="319">
        <v>0</v>
      </c>
      <c r="G464" s="331">
        <v>19.400046330629685</v>
      </c>
      <c r="H464" s="319">
        <v>0</v>
      </c>
      <c r="I464" s="319">
        <v>0</v>
      </c>
      <c r="J464" s="320">
        <v>9.3813906477868194</v>
      </c>
      <c r="K464" s="318">
        <v>0</v>
      </c>
      <c r="L464" s="319">
        <v>0</v>
      </c>
      <c r="M464" s="319">
        <v>0</v>
      </c>
      <c r="N464" s="319">
        <v>0</v>
      </c>
      <c r="O464" s="318">
        <v>0</v>
      </c>
      <c r="P464" s="321">
        <v>0</v>
      </c>
      <c r="Q464" s="319">
        <v>0</v>
      </c>
      <c r="R464" s="322">
        <v>0</v>
      </c>
      <c r="S464" s="15"/>
      <c r="T464" s="15"/>
      <c r="U464" s="15"/>
      <c r="V464" s="15"/>
    </row>
    <row r="465" spans="1:22">
      <c r="A465" s="253"/>
      <c r="B465" s="234" t="s">
        <v>118</v>
      </c>
      <c r="C465" s="249">
        <v>5.9188275084554683E-4</v>
      </c>
      <c r="D465" s="250">
        <v>0</v>
      </c>
      <c r="E465" s="250">
        <v>5.5272220615683902E-3</v>
      </c>
      <c r="F465" s="250">
        <v>0</v>
      </c>
      <c r="G465" s="250">
        <v>8.3745318352059922E-2</v>
      </c>
      <c r="H465" s="250">
        <v>0</v>
      </c>
      <c r="I465" s="250">
        <v>0</v>
      </c>
      <c r="J465" s="251">
        <v>3.7719339441921857E-3</v>
      </c>
      <c r="K465" s="249">
        <v>0</v>
      </c>
      <c r="L465" s="250">
        <v>0</v>
      </c>
      <c r="M465" s="250">
        <v>0</v>
      </c>
      <c r="N465" s="250">
        <v>0</v>
      </c>
      <c r="O465" s="249">
        <v>0</v>
      </c>
      <c r="P465" s="249">
        <v>0</v>
      </c>
      <c r="Q465" s="250">
        <v>0</v>
      </c>
      <c r="R465" s="252">
        <v>0</v>
      </c>
      <c r="S465" s="15"/>
      <c r="T465" s="15"/>
      <c r="U465" s="15"/>
      <c r="V465" s="15"/>
    </row>
    <row r="466" spans="1:22">
      <c r="A466" s="253"/>
      <c r="B466" s="254" t="s">
        <v>119</v>
      </c>
      <c r="C466" s="255">
        <v>7.8327633811191223E-4</v>
      </c>
      <c r="D466" s="256">
        <v>0</v>
      </c>
      <c r="E466" s="256">
        <v>1.2662386356332265E-2</v>
      </c>
      <c r="F466" s="256">
        <v>0</v>
      </c>
      <c r="G466" s="256">
        <v>4.5662100456621002E-3</v>
      </c>
      <c r="H466" s="256">
        <v>0</v>
      </c>
      <c r="I466" s="256">
        <v>0</v>
      </c>
      <c r="J466" s="257">
        <v>5.5892361348442148E-3</v>
      </c>
      <c r="K466" s="255">
        <v>0</v>
      </c>
      <c r="L466" s="256">
        <v>0</v>
      </c>
      <c r="M466" s="256">
        <v>0</v>
      </c>
      <c r="N466" s="256">
        <v>0</v>
      </c>
      <c r="O466" s="255">
        <v>0</v>
      </c>
      <c r="P466" s="255">
        <v>0</v>
      </c>
      <c r="Q466" s="256">
        <v>0</v>
      </c>
      <c r="R466" s="258">
        <v>0</v>
      </c>
      <c r="S466" s="15"/>
      <c r="T466" s="15"/>
      <c r="U466" s="15"/>
      <c r="V466" s="15"/>
    </row>
    <row r="467" spans="1:22">
      <c r="A467" s="253"/>
      <c r="B467" s="317" t="s">
        <v>120</v>
      </c>
      <c r="C467" s="318">
        <v>1.9139358726636541E-2</v>
      </c>
      <c r="D467" s="319">
        <v>0</v>
      </c>
      <c r="E467" s="319">
        <v>0.71351642947638749</v>
      </c>
      <c r="F467" s="319">
        <v>0</v>
      </c>
      <c r="G467" s="331">
        <v>-7.9179108306397818</v>
      </c>
      <c r="H467" s="319">
        <v>0</v>
      </c>
      <c r="I467" s="319">
        <v>0</v>
      </c>
      <c r="J467" s="320">
        <v>0.18173021906520292</v>
      </c>
      <c r="K467" s="318">
        <v>0</v>
      </c>
      <c r="L467" s="319">
        <v>0</v>
      </c>
      <c r="M467" s="319">
        <v>0</v>
      </c>
      <c r="N467" s="319">
        <v>0</v>
      </c>
      <c r="O467" s="318">
        <v>0</v>
      </c>
      <c r="P467" s="321">
        <v>0</v>
      </c>
      <c r="Q467" s="319">
        <v>0</v>
      </c>
      <c r="R467" s="322">
        <v>0</v>
      </c>
      <c r="S467" s="15"/>
      <c r="T467" s="15"/>
      <c r="U467" s="15"/>
      <c r="V467" s="15"/>
    </row>
    <row r="468" spans="1:22">
      <c r="A468" s="253"/>
      <c r="B468" s="234" t="s">
        <v>121</v>
      </c>
      <c r="C468" s="249">
        <v>6.349586621570838E-2</v>
      </c>
      <c r="D468" s="250">
        <v>4.2610177745312878E-3</v>
      </c>
      <c r="E468" s="250">
        <v>2.8483924393385734E-2</v>
      </c>
      <c r="F468" s="250">
        <v>0</v>
      </c>
      <c r="G468" s="250">
        <v>0</v>
      </c>
      <c r="H468" s="250">
        <v>0</v>
      </c>
      <c r="I468" s="250">
        <v>0</v>
      </c>
      <c r="J468" s="251">
        <v>4.4469766441652431E-2</v>
      </c>
      <c r="K468" s="249">
        <v>0</v>
      </c>
      <c r="L468" s="250">
        <v>0</v>
      </c>
      <c r="M468" s="250">
        <v>0</v>
      </c>
      <c r="N468" s="250">
        <v>0</v>
      </c>
      <c r="O468" s="249">
        <v>0</v>
      </c>
      <c r="P468" s="249">
        <v>0</v>
      </c>
      <c r="Q468" s="250">
        <v>0</v>
      </c>
      <c r="R468" s="252">
        <v>0</v>
      </c>
      <c r="S468" s="15"/>
      <c r="T468" s="15"/>
      <c r="U468" s="15"/>
      <c r="V468" s="15"/>
    </row>
    <row r="469" spans="1:22">
      <c r="A469" s="253"/>
      <c r="B469" s="254" t="s">
        <v>122</v>
      </c>
      <c r="C469" s="255">
        <v>3.5528109236192824E-2</v>
      </c>
      <c r="D469" s="256">
        <v>9.009590854780895E-3</v>
      </c>
      <c r="E469" s="256">
        <v>4.1693745938109282E-2</v>
      </c>
      <c r="F469" s="256">
        <v>0</v>
      </c>
      <c r="G469" s="256">
        <v>0</v>
      </c>
      <c r="H469" s="256">
        <v>0</v>
      </c>
      <c r="I469" s="256">
        <v>0</v>
      </c>
      <c r="J469" s="257">
        <v>3.4909076856034484E-2</v>
      </c>
      <c r="K469" s="255">
        <v>0</v>
      </c>
      <c r="L469" s="256">
        <v>0</v>
      </c>
      <c r="M469" s="256">
        <v>0</v>
      </c>
      <c r="N469" s="256">
        <v>0</v>
      </c>
      <c r="O469" s="255">
        <v>0</v>
      </c>
      <c r="P469" s="255">
        <v>0</v>
      </c>
      <c r="Q469" s="256">
        <v>0</v>
      </c>
      <c r="R469" s="258">
        <v>0</v>
      </c>
      <c r="S469" s="15"/>
      <c r="T469" s="15"/>
      <c r="U469" s="15"/>
      <c r="V469" s="15"/>
    </row>
    <row r="470" spans="1:22">
      <c r="A470" s="253"/>
      <c r="B470" s="317" t="s">
        <v>123</v>
      </c>
      <c r="C470" s="318">
        <v>-2.7967756979515555</v>
      </c>
      <c r="D470" s="319">
        <v>0.47485730802496073</v>
      </c>
      <c r="E470" s="319">
        <v>1.3209821544723548</v>
      </c>
      <c r="F470" s="319">
        <v>0</v>
      </c>
      <c r="G470" s="319">
        <v>0</v>
      </c>
      <c r="H470" s="319">
        <v>0</v>
      </c>
      <c r="I470" s="319">
        <v>0</v>
      </c>
      <c r="J470" s="320">
        <v>-0.95606895856179475</v>
      </c>
      <c r="K470" s="318">
        <v>0</v>
      </c>
      <c r="L470" s="319">
        <v>0</v>
      </c>
      <c r="M470" s="319">
        <v>0</v>
      </c>
      <c r="N470" s="319">
        <v>0</v>
      </c>
      <c r="O470" s="318">
        <v>0</v>
      </c>
      <c r="P470" s="321">
        <v>0</v>
      </c>
      <c r="Q470" s="319">
        <v>0</v>
      </c>
      <c r="R470" s="322">
        <v>0</v>
      </c>
      <c r="S470" s="15"/>
      <c r="T470" s="15"/>
      <c r="U470" s="15"/>
      <c r="V470" s="15"/>
    </row>
    <row r="471" spans="1:22">
      <c r="A471" s="253"/>
      <c r="B471" s="234" t="s">
        <v>124</v>
      </c>
      <c r="C471" s="249">
        <v>2.8851935362645621E-2</v>
      </c>
      <c r="D471" s="250">
        <v>9.1368395422449483E-2</v>
      </c>
      <c r="E471" s="250">
        <v>5.9695312705381316E-2</v>
      </c>
      <c r="F471" s="250">
        <v>0</v>
      </c>
      <c r="G471" s="250">
        <v>0</v>
      </c>
      <c r="H471" s="250">
        <v>0</v>
      </c>
      <c r="I471" s="250">
        <v>0</v>
      </c>
      <c r="J471" s="251">
        <v>4.5053106160413477E-2</v>
      </c>
      <c r="K471" s="249">
        <v>0</v>
      </c>
      <c r="L471" s="250">
        <v>0</v>
      </c>
      <c r="M471" s="250">
        <v>0</v>
      </c>
      <c r="N471" s="250">
        <v>0</v>
      </c>
      <c r="O471" s="249">
        <v>0</v>
      </c>
      <c r="P471" s="249">
        <v>0</v>
      </c>
      <c r="Q471" s="250">
        <v>0</v>
      </c>
      <c r="R471" s="252">
        <v>0</v>
      </c>
      <c r="S471" s="15"/>
      <c r="T471" s="15"/>
      <c r="U471" s="15"/>
      <c r="V471" s="15"/>
    </row>
    <row r="472" spans="1:22">
      <c r="A472" s="253"/>
      <c r="B472" s="254" t="s">
        <v>125</v>
      </c>
      <c r="C472" s="255">
        <v>5.3333997931438393E-2</v>
      </c>
      <c r="D472" s="256">
        <v>2.205573675202635E-2</v>
      </c>
      <c r="E472" s="256">
        <v>4.6707279622342363E-2</v>
      </c>
      <c r="F472" s="256">
        <v>0</v>
      </c>
      <c r="G472" s="256">
        <v>0</v>
      </c>
      <c r="H472" s="256">
        <v>0</v>
      </c>
      <c r="I472" s="256">
        <v>0</v>
      </c>
      <c r="J472" s="257">
        <v>4.6752893179545701E-2</v>
      </c>
      <c r="K472" s="255">
        <v>0</v>
      </c>
      <c r="L472" s="256">
        <v>0</v>
      </c>
      <c r="M472" s="256">
        <v>0</v>
      </c>
      <c r="N472" s="256">
        <v>0</v>
      </c>
      <c r="O472" s="255">
        <v>0</v>
      </c>
      <c r="P472" s="255">
        <v>0</v>
      </c>
      <c r="Q472" s="256">
        <v>0</v>
      </c>
      <c r="R472" s="258">
        <v>0</v>
      </c>
      <c r="S472" s="15"/>
      <c r="T472" s="15"/>
      <c r="U472" s="15"/>
      <c r="V472" s="15"/>
    </row>
    <row r="473" spans="1:22">
      <c r="A473" s="260"/>
      <c r="B473" s="317" t="s">
        <v>126</v>
      </c>
      <c r="C473" s="318">
        <v>2.4482062568792773</v>
      </c>
      <c r="D473" s="331">
        <v>-6.9312658670423133</v>
      </c>
      <c r="E473" s="319">
        <v>-1.2988033083038955</v>
      </c>
      <c r="F473" s="319">
        <v>0</v>
      </c>
      <c r="G473" s="319">
        <v>0</v>
      </c>
      <c r="H473" s="319">
        <v>0</v>
      </c>
      <c r="I473" s="319">
        <v>0</v>
      </c>
      <c r="J473" s="320">
        <v>0.16997870191322248</v>
      </c>
      <c r="K473" s="318">
        <v>0</v>
      </c>
      <c r="L473" s="319">
        <v>0</v>
      </c>
      <c r="M473" s="319">
        <v>0</v>
      </c>
      <c r="N473" s="319">
        <v>0</v>
      </c>
      <c r="O473" s="318">
        <v>0</v>
      </c>
      <c r="P473" s="321">
        <v>0</v>
      </c>
      <c r="Q473" s="319">
        <v>0</v>
      </c>
      <c r="R473" s="322">
        <v>0</v>
      </c>
      <c r="S473" s="15"/>
      <c r="T473" s="15"/>
      <c r="U473" s="15"/>
      <c r="V473" s="15"/>
    </row>
    <row r="474" spans="1:22">
      <c r="A474" s="248" t="s">
        <v>83</v>
      </c>
      <c r="B474" s="234" t="s">
        <v>91</v>
      </c>
      <c r="C474" s="249">
        <v>0.92168230010142449</v>
      </c>
      <c r="D474" s="250">
        <v>0.92187414254019773</v>
      </c>
      <c r="E474" s="250">
        <v>0.8971470103292527</v>
      </c>
      <c r="F474" s="250">
        <v>0.3000623668208513</v>
      </c>
      <c r="G474" s="250">
        <v>0.7798037162581859</v>
      </c>
      <c r="H474" s="250">
        <v>0.99987874133505794</v>
      </c>
      <c r="I474" s="250">
        <v>0</v>
      </c>
      <c r="J474" s="251">
        <v>0.90473454222305472</v>
      </c>
      <c r="K474" s="249">
        <v>0.81759536750139683</v>
      </c>
      <c r="L474" s="250">
        <v>0.7380229450357354</v>
      </c>
      <c r="M474" s="250">
        <v>0.59827810419435634</v>
      </c>
      <c r="N474" s="250">
        <v>0.62204816289619158</v>
      </c>
      <c r="O474" s="249">
        <v>0.71572653990776924</v>
      </c>
      <c r="P474" s="249">
        <v>0</v>
      </c>
      <c r="Q474" s="250">
        <v>0</v>
      </c>
      <c r="R474" s="252">
        <v>0</v>
      </c>
      <c r="S474" s="15"/>
      <c r="T474" s="15"/>
      <c r="U474" s="15"/>
      <c r="V474" s="15"/>
    </row>
    <row r="475" spans="1:22">
      <c r="A475" s="253"/>
      <c r="B475" s="254" t="s">
        <v>92</v>
      </c>
      <c r="C475" s="255">
        <v>0.90706985405528229</v>
      </c>
      <c r="D475" s="256">
        <v>0.90130712529237544</v>
      </c>
      <c r="E475" s="256">
        <v>0.880259763137624</v>
      </c>
      <c r="F475" s="256">
        <v>0.39434731486467184</v>
      </c>
      <c r="G475" s="256">
        <v>0.69741238908233183</v>
      </c>
      <c r="H475" s="256">
        <v>1</v>
      </c>
      <c r="I475" s="256">
        <v>0</v>
      </c>
      <c r="J475" s="257">
        <v>0.88729973012885044</v>
      </c>
      <c r="K475" s="255">
        <v>0.79600203688003113</v>
      </c>
      <c r="L475" s="256">
        <v>0.73671171509986844</v>
      </c>
      <c r="M475" s="256">
        <v>0.57375657086588716</v>
      </c>
      <c r="N475" s="256">
        <v>0.61344364111833249</v>
      </c>
      <c r="O475" s="255">
        <v>0.71005035314294818</v>
      </c>
      <c r="P475" s="255">
        <v>0</v>
      </c>
      <c r="Q475" s="256">
        <v>0</v>
      </c>
      <c r="R475" s="258">
        <v>0</v>
      </c>
      <c r="S475" s="15"/>
      <c r="T475" s="15"/>
      <c r="U475" s="15"/>
      <c r="V475" s="15"/>
    </row>
    <row r="476" spans="1:22">
      <c r="A476" s="253"/>
      <c r="B476" s="317" t="s">
        <v>93</v>
      </c>
      <c r="C476" s="318">
        <v>-1.4612446046142202</v>
      </c>
      <c r="D476" s="319">
        <v>-2.0567017247822283</v>
      </c>
      <c r="E476" s="319">
        <v>-1.6887247191628707</v>
      </c>
      <c r="F476" s="331">
        <v>9.4284948043820531</v>
      </c>
      <c r="G476" s="331">
        <v>-8.2391327175854059</v>
      </c>
      <c r="H476" s="319">
        <v>1.2125866494205884E-2</v>
      </c>
      <c r="I476" s="319">
        <v>0</v>
      </c>
      <c r="J476" s="320">
        <v>-1.7434812094204277</v>
      </c>
      <c r="K476" s="318">
        <v>-2.1593330621365703</v>
      </c>
      <c r="L476" s="319">
        <v>-0.13112299358669643</v>
      </c>
      <c r="M476" s="319">
        <v>-2.4521533328469181</v>
      </c>
      <c r="N476" s="319">
        <v>-0.86045217778590866</v>
      </c>
      <c r="O476" s="318">
        <v>-0.56761867648210673</v>
      </c>
      <c r="P476" s="321">
        <v>0</v>
      </c>
      <c r="Q476" s="319">
        <v>0</v>
      </c>
      <c r="R476" s="322">
        <v>0</v>
      </c>
      <c r="S476" s="15"/>
      <c r="T476" s="15"/>
      <c r="U476" s="15"/>
      <c r="V476" s="15"/>
    </row>
    <row r="477" spans="1:22">
      <c r="A477" s="253"/>
      <c r="B477" s="234" t="s">
        <v>94</v>
      </c>
      <c r="C477" s="249">
        <v>6.0548200080632018E-3</v>
      </c>
      <c r="D477" s="250">
        <v>8.3789991925178539E-3</v>
      </c>
      <c r="E477" s="250">
        <v>2.6084744185778837E-2</v>
      </c>
      <c r="F477" s="250">
        <v>0.15520243230601319</v>
      </c>
      <c r="G477" s="250">
        <v>4.54611603102206E-2</v>
      </c>
      <c r="H477" s="250">
        <v>0</v>
      </c>
      <c r="I477" s="250">
        <v>0</v>
      </c>
      <c r="J477" s="251">
        <v>1.5965175900278395E-2</v>
      </c>
      <c r="K477" s="249">
        <v>1.0185722344159785E-2</v>
      </c>
      <c r="L477" s="250">
        <v>9.1193989220966082E-2</v>
      </c>
      <c r="M477" s="250">
        <v>0.20876389261497566</v>
      </c>
      <c r="N477" s="250">
        <v>0.14121170573277517</v>
      </c>
      <c r="O477" s="249">
        <v>0.10791597070312209</v>
      </c>
      <c r="P477" s="249">
        <v>0</v>
      </c>
      <c r="Q477" s="250">
        <v>0</v>
      </c>
      <c r="R477" s="252">
        <v>0</v>
      </c>
      <c r="S477" s="15"/>
      <c r="T477" s="15"/>
      <c r="U477" s="15"/>
      <c r="V477" s="15"/>
    </row>
    <row r="478" spans="1:22">
      <c r="A478" s="253"/>
      <c r="B478" s="254" t="s">
        <v>95</v>
      </c>
      <c r="C478" s="255">
        <v>5.4571259793499095E-3</v>
      </c>
      <c r="D478" s="256">
        <v>7.4499913328565778E-3</v>
      </c>
      <c r="E478" s="256">
        <v>2.3255183686209571E-2</v>
      </c>
      <c r="F478" s="256">
        <v>0.12136130372193712</v>
      </c>
      <c r="G478" s="256">
        <v>4.0583230371784788E-2</v>
      </c>
      <c r="H478" s="256">
        <v>0</v>
      </c>
      <c r="I478" s="256">
        <v>0</v>
      </c>
      <c r="J478" s="257">
        <v>1.4211435228980563E-2</v>
      </c>
      <c r="K478" s="255">
        <v>1.0819948400775681E-2</v>
      </c>
      <c r="L478" s="256">
        <v>8.73976728803013E-2</v>
      </c>
      <c r="M478" s="256">
        <v>0.20482659213468804</v>
      </c>
      <c r="N478" s="256">
        <v>0.14229127408375958</v>
      </c>
      <c r="O478" s="255">
        <v>0.10392984134095416</v>
      </c>
      <c r="P478" s="255">
        <v>0</v>
      </c>
      <c r="Q478" s="256">
        <v>0</v>
      </c>
      <c r="R478" s="258">
        <v>0</v>
      </c>
      <c r="S478" s="15"/>
      <c r="T478" s="15"/>
      <c r="U478" s="15"/>
      <c r="V478" s="15"/>
    </row>
    <row r="479" spans="1:22">
      <c r="A479" s="253"/>
      <c r="B479" s="317" t="s">
        <v>96</v>
      </c>
      <c r="C479" s="318">
        <v>-5.976940287132923E-2</v>
      </c>
      <c r="D479" s="319">
        <v>-9.2900785966127608E-2</v>
      </c>
      <c r="E479" s="319">
        <v>-0.28295604995692664</v>
      </c>
      <c r="F479" s="331">
        <v>-3.3841128584076063</v>
      </c>
      <c r="G479" s="319">
        <v>-0.4877929938435811</v>
      </c>
      <c r="H479" s="319">
        <v>0</v>
      </c>
      <c r="I479" s="319">
        <v>0</v>
      </c>
      <c r="J479" s="320">
        <v>-0.17537406712978318</v>
      </c>
      <c r="K479" s="318">
        <v>6.3422605661589582E-2</v>
      </c>
      <c r="L479" s="319">
        <v>-0.37963163406647821</v>
      </c>
      <c r="M479" s="319">
        <v>-0.39373004802876199</v>
      </c>
      <c r="N479" s="319">
        <v>0.10795683509844112</v>
      </c>
      <c r="O479" s="318">
        <v>-0.39861293621679256</v>
      </c>
      <c r="P479" s="321">
        <v>0</v>
      </c>
      <c r="Q479" s="319">
        <v>0</v>
      </c>
      <c r="R479" s="322">
        <v>0</v>
      </c>
      <c r="S479" s="15"/>
      <c r="T479" s="15"/>
      <c r="U479" s="15"/>
      <c r="V479" s="15"/>
    </row>
    <row r="480" spans="1:22">
      <c r="A480" s="253"/>
      <c r="B480" s="234" t="s">
        <v>97</v>
      </c>
      <c r="C480" s="249">
        <v>6.6356243172879525E-2</v>
      </c>
      <c r="D480" s="250">
        <v>6.5177136495841073E-2</v>
      </c>
      <c r="E480" s="250">
        <v>7.2882426458387092E-2</v>
      </c>
      <c r="F480" s="250">
        <v>0.48299204823034148</v>
      </c>
      <c r="G480" s="250">
        <v>0.15493992581681368</v>
      </c>
      <c r="H480" s="250">
        <v>1.2125866494209899E-4</v>
      </c>
      <c r="I480" s="250">
        <v>0</v>
      </c>
      <c r="J480" s="251">
        <v>7.359542029451871E-2</v>
      </c>
      <c r="K480" s="249">
        <v>0.17023657075334245</v>
      </c>
      <c r="L480" s="250">
        <v>0.16400514862819171</v>
      </c>
      <c r="M480" s="250">
        <v>0.16646767656702144</v>
      </c>
      <c r="N480" s="250">
        <v>0.20671489763075113</v>
      </c>
      <c r="O480" s="249">
        <v>0.1659170546394057</v>
      </c>
      <c r="P480" s="249">
        <v>0</v>
      </c>
      <c r="Q480" s="250">
        <v>0</v>
      </c>
      <c r="R480" s="252">
        <v>0</v>
      </c>
      <c r="S480" s="15"/>
      <c r="T480" s="15"/>
      <c r="U480" s="15"/>
      <c r="V480" s="15"/>
    </row>
    <row r="481" spans="1:22">
      <c r="A481" s="253"/>
      <c r="B481" s="254" t="s">
        <v>98</v>
      </c>
      <c r="C481" s="255">
        <v>8.5224596884311776E-2</v>
      </c>
      <c r="D481" s="256">
        <v>8.6711205528361826E-2</v>
      </c>
      <c r="E481" s="256">
        <v>9.2237595050893573E-2</v>
      </c>
      <c r="F481" s="256">
        <v>0.44136877616729486</v>
      </c>
      <c r="G481" s="256">
        <v>0.24528950915421768</v>
      </c>
      <c r="H481" s="256">
        <v>0</v>
      </c>
      <c r="I481" s="256">
        <v>0</v>
      </c>
      <c r="J481" s="257">
        <v>9.4535383086637573E-2</v>
      </c>
      <c r="K481" s="255">
        <v>0.1916620758724788</v>
      </c>
      <c r="L481" s="256">
        <v>0.16988635358942505</v>
      </c>
      <c r="M481" s="256">
        <v>0.19477778827679612</v>
      </c>
      <c r="N481" s="256">
        <v>0.21692208591316386</v>
      </c>
      <c r="O481" s="255">
        <v>0.17632521495715825</v>
      </c>
      <c r="P481" s="255">
        <v>0</v>
      </c>
      <c r="Q481" s="256">
        <v>0</v>
      </c>
      <c r="R481" s="258">
        <v>0</v>
      </c>
      <c r="S481" s="15"/>
      <c r="T481" s="15"/>
      <c r="U481" s="15"/>
      <c r="V481" s="15"/>
    </row>
    <row r="482" spans="1:22">
      <c r="A482" s="253"/>
      <c r="B482" s="317" t="s">
        <v>99</v>
      </c>
      <c r="C482" s="318">
        <v>1.8868353711432251</v>
      </c>
      <c r="D482" s="319">
        <v>2.1534069032520753</v>
      </c>
      <c r="E482" s="319">
        <v>1.935516859250648</v>
      </c>
      <c r="F482" s="331">
        <v>-4.1623272063046617</v>
      </c>
      <c r="G482" s="331">
        <v>9.0349583337404002</v>
      </c>
      <c r="H482" s="319">
        <v>-1.2125866494209899E-2</v>
      </c>
      <c r="I482" s="319">
        <v>0</v>
      </c>
      <c r="J482" s="320">
        <v>2.0939962792118862</v>
      </c>
      <c r="K482" s="318">
        <v>2.142550511913635</v>
      </c>
      <c r="L482" s="319">
        <v>0.58812049612333439</v>
      </c>
      <c r="M482" s="319">
        <v>2.8310111709774683</v>
      </c>
      <c r="N482" s="319">
        <v>1.0207188282412738</v>
      </c>
      <c r="O482" s="318">
        <v>1.0408160317752546</v>
      </c>
      <c r="P482" s="321">
        <v>0</v>
      </c>
      <c r="Q482" s="319">
        <v>0</v>
      </c>
      <c r="R482" s="322">
        <v>0</v>
      </c>
      <c r="S482" s="15"/>
      <c r="T482" s="15"/>
      <c r="U482" s="15"/>
      <c r="V482" s="15"/>
    </row>
    <row r="483" spans="1:22">
      <c r="A483" s="253"/>
      <c r="B483" s="234" t="s">
        <v>100</v>
      </c>
      <c r="C483" s="249">
        <v>9.5274632055423282E-5</v>
      </c>
      <c r="D483" s="250">
        <v>4.5226839765751779E-3</v>
      </c>
      <c r="E483" s="250">
        <v>2.6007771158470436E-3</v>
      </c>
      <c r="F483" s="250">
        <v>2.579127903955096E-2</v>
      </c>
      <c r="G483" s="250">
        <v>1.9795197614779846E-2</v>
      </c>
      <c r="H483" s="250">
        <v>0</v>
      </c>
      <c r="I483" s="250">
        <v>0</v>
      </c>
      <c r="J483" s="251">
        <v>2.2471598914621319E-3</v>
      </c>
      <c r="K483" s="249">
        <v>1.7297014059504936E-3</v>
      </c>
      <c r="L483" s="250">
        <v>8.9498547640341883E-4</v>
      </c>
      <c r="M483" s="250">
        <v>2.3087493523435434E-2</v>
      </c>
      <c r="N483" s="250">
        <v>2.2506162575300106E-2</v>
      </c>
      <c r="O483" s="249">
        <v>5.2069829542015934E-3</v>
      </c>
      <c r="P483" s="249">
        <v>0</v>
      </c>
      <c r="Q483" s="250">
        <v>0</v>
      </c>
      <c r="R483" s="252">
        <v>0</v>
      </c>
      <c r="S483" s="15"/>
      <c r="T483" s="15"/>
      <c r="U483" s="15"/>
      <c r="V483" s="15"/>
    </row>
    <row r="484" spans="1:22">
      <c r="A484" s="253"/>
      <c r="B484" s="254" t="s">
        <v>101</v>
      </c>
      <c r="C484" s="255">
        <v>1.7625029209221794E-5</v>
      </c>
      <c r="D484" s="256">
        <v>4.4866537247330255E-3</v>
      </c>
      <c r="E484" s="256">
        <v>2.194520031391005E-3</v>
      </c>
      <c r="F484" s="256">
        <v>4.2922605246096195E-2</v>
      </c>
      <c r="G484" s="256">
        <v>1.671487139166573E-2</v>
      </c>
      <c r="H484" s="256">
        <v>0</v>
      </c>
      <c r="I484" s="256">
        <v>0</v>
      </c>
      <c r="J484" s="257">
        <v>2.1319891486142996E-3</v>
      </c>
      <c r="K484" s="255">
        <v>1.4182623746322482E-3</v>
      </c>
      <c r="L484" s="256">
        <v>5.7050615992699637E-4</v>
      </c>
      <c r="M484" s="256">
        <v>2.4422236257752007E-2</v>
      </c>
      <c r="N484" s="256">
        <v>1.9702053609198938E-2</v>
      </c>
      <c r="O484" s="255">
        <v>4.9920101107250566E-3</v>
      </c>
      <c r="P484" s="255">
        <v>0</v>
      </c>
      <c r="Q484" s="256">
        <v>0</v>
      </c>
      <c r="R484" s="258">
        <v>0</v>
      </c>
      <c r="S484" s="15"/>
      <c r="T484" s="15"/>
      <c r="U484" s="15"/>
      <c r="V484" s="15"/>
    </row>
    <row r="485" spans="1:22">
      <c r="A485" s="253"/>
      <c r="B485" s="317" t="s">
        <v>102</v>
      </c>
      <c r="C485" s="318">
        <v>-7.7649602846201482E-3</v>
      </c>
      <c r="D485" s="319">
        <v>-3.603025184215243E-3</v>
      </c>
      <c r="E485" s="319">
        <v>-4.062570844560387E-2</v>
      </c>
      <c r="F485" s="319">
        <v>1.7131326206545234</v>
      </c>
      <c r="G485" s="319">
        <v>-0.30803262231141154</v>
      </c>
      <c r="H485" s="319">
        <v>0</v>
      </c>
      <c r="I485" s="319">
        <v>0</v>
      </c>
      <c r="J485" s="320">
        <v>-1.1517074284783223E-2</v>
      </c>
      <c r="K485" s="318">
        <v>-3.1143903131824545E-2</v>
      </c>
      <c r="L485" s="319">
        <v>-3.2447931647642245E-2</v>
      </c>
      <c r="M485" s="319">
        <v>0.13347427343165727</v>
      </c>
      <c r="N485" s="319">
        <v>-0.28041089661011676</v>
      </c>
      <c r="O485" s="318">
        <v>-2.1497284347653679E-2</v>
      </c>
      <c r="P485" s="321">
        <v>0</v>
      </c>
      <c r="Q485" s="319">
        <v>0</v>
      </c>
      <c r="R485" s="322">
        <v>0</v>
      </c>
      <c r="S485" s="15"/>
      <c r="T485" s="15"/>
      <c r="U485" s="15"/>
      <c r="V485" s="15"/>
    </row>
    <row r="486" spans="1:22">
      <c r="A486" s="253"/>
      <c r="B486" s="234" t="s">
        <v>103</v>
      </c>
      <c r="C486" s="249">
        <v>5.8113620855773148E-3</v>
      </c>
      <c r="D486" s="250">
        <v>4.7037794868176579E-5</v>
      </c>
      <c r="E486" s="250">
        <v>1.2850419107343083E-3</v>
      </c>
      <c r="F486" s="250">
        <v>3.5951873603243076E-2</v>
      </c>
      <c r="G486" s="250">
        <v>0</v>
      </c>
      <c r="H486" s="250">
        <v>0</v>
      </c>
      <c r="I486" s="250">
        <v>0</v>
      </c>
      <c r="J486" s="251">
        <v>3.4577016906860258E-3</v>
      </c>
      <c r="K486" s="249">
        <v>2.5263799515041986E-4</v>
      </c>
      <c r="L486" s="250">
        <v>5.8829316387033689E-3</v>
      </c>
      <c r="M486" s="250">
        <v>3.4028331002111411E-3</v>
      </c>
      <c r="N486" s="250">
        <v>7.519071164981986E-3</v>
      </c>
      <c r="O486" s="249">
        <v>5.2334517955013263E-3</v>
      </c>
      <c r="P486" s="249">
        <v>0</v>
      </c>
      <c r="Q486" s="250">
        <v>0</v>
      </c>
      <c r="R486" s="252">
        <v>0</v>
      </c>
      <c r="S486" s="15"/>
      <c r="T486" s="15"/>
      <c r="U486" s="15"/>
      <c r="V486" s="15"/>
    </row>
    <row r="487" spans="1:22">
      <c r="A487" s="253"/>
      <c r="B487" s="254" t="s">
        <v>104</v>
      </c>
      <c r="C487" s="255">
        <v>2.2307980518467712E-3</v>
      </c>
      <c r="D487" s="256">
        <v>4.5024121673186406E-5</v>
      </c>
      <c r="E487" s="256">
        <v>2.0529380938819081E-3</v>
      </c>
      <c r="F487" s="256">
        <v>0</v>
      </c>
      <c r="G487" s="256">
        <v>0</v>
      </c>
      <c r="H487" s="256">
        <v>0</v>
      </c>
      <c r="I487" s="256">
        <v>0</v>
      </c>
      <c r="J487" s="257">
        <v>1.8214624069170693E-3</v>
      </c>
      <c r="K487" s="255">
        <v>9.7676472082110753E-5</v>
      </c>
      <c r="L487" s="256">
        <v>5.4337522704781581E-3</v>
      </c>
      <c r="M487" s="256">
        <v>2.2168124648766392E-3</v>
      </c>
      <c r="N487" s="256">
        <v>7.6409452755451298E-3</v>
      </c>
      <c r="O487" s="255">
        <v>4.7025804482143437E-3</v>
      </c>
      <c r="P487" s="255">
        <v>0</v>
      </c>
      <c r="Q487" s="256">
        <v>0</v>
      </c>
      <c r="R487" s="258">
        <v>0</v>
      </c>
      <c r="S487" s="15"/>
      <c r="T487" s="15"/>
      <c r="U487" s="15"/>
      <c r="V487" s="15"/>
    </row>
    <row r="488" spans="1:22">
      <c r="A488" s="253"/>
      <c r="B488" s="317" t="s">
        <v>105</v>
      </c>
      <c r="C488" s="318">
        <v>-0.35805640337305433</v>
      </c>
      <c r="D488" s="319">
        <v>-2.0136731949901729E-4</v>
      </c>
      <c r="E488" s="319">
        <v>7.6789618314759986E-2</v>
      </c>
      <c r="F488" s="319">
        <v>-3.5951873603243074</v>
      </c>
      <c r="G488" s="319">
        <v>0</v>
      </c>
      <c r="H488" s="319">
        <v>0</v>
      </c>
      <c r="I488" s="319">
        <v>0</v>
      </c>
      <c r="J488" s="320">
        <v>-0.16362392837689566</v>
      </c>
      <c r="K488" s="318">
        <v>-1.5496152306830911E-2</v>
      </c>
      <c r="L488" s="319">
        <v>-4.4917936822521085E-2</v>
      </c>
      <c r="M488" s="319">
        <v>-0.11860206353345019</v>
      </c>
      <c r="N488" s="319">
        <v>1.2187411056314382E-2</v>
      </c>
      <c r="O488" s="318">
        <v>-5.3087134728698263E-2</v>
      </c>
      <c r="P488" s="321">
        <v>0</v>
      </c>
      <c r="Q488" s="319">
        <v>0</v>
      </c>
      <c r="R488" s="322">
        <v>0</v>
      </c>
      <c r="S488" s="15"/>
      <c r="T488" s="15"/>
      <c r="U488" s="15"/>
      <c r="V488" s="15"/>
    </row>
    <row r="489" spans="1:22">
      <c r="A489" s="253"/>
      <c r="B489" s="234" t="s">
        <v>106</v>
      </c>
      <c r="C489" s="249">
        <v>0</v>
      </c>
      <c r="D489" s="250">
        <v>0</v>
      </c>
      <c r="E489" s="250">
        <v>0</v>
      </c>
      <c r="F489" s="250">
        <v>0</v>
      </c>
      <c r="G489" s="250">
        <v>0</v>
      </c>
      <c r="H489" s="250">
        <v>0</v>
      </c>
      <c r="I489" s="250">
        <v>0</v>
      </c>
      <c r="J489" s="251">
        <v>0</v>
      </c>
      <c r="K489" s="249">
        <v>0</v>
      </c>
      <c r="L489" s="250">
        <v>0</v>
      </c>
      <c r="M489" s="250">
        <v>0</v>
      </c>
      <c r="N489" s="250">
        <v>0</v>
      </c>
      <c r="O489" s="249">
        <v>0</v>
      </c>
      <c r="P489" s="249">
        <v>0</v>
      </c>
      <c r="Q489" s="250">
        <v>0</v>
      </c>
      <c r="R489" s="252">
        <v>0</v>
      </c>
      <c r="S489" s="15"/>
      <c r="T489" s="15"/>
      <c r="U489" s="15"/>
      <c r="V489" s="15"/>
    </row>
    <row r="490" spans="1:22">
      <c r="A490" s="253"/>
      <c r="B490" s="254" t="s">
        <v>107</v>
      </c>
      <c r="C490" s="255">
        <v>0</v>
      </c>
      <c r="D490" s="256">
        <v>0</v>
      </c>
      <c r="E490" s="256">
        <v>0</v>
      </c>
      <c r="F490" s="256">
        <v>0</v>
      </c>
      <c r="G490" s="256">
        <v>0</v>
      </c>
      <c r="H490" s="256">
        <v>0</v>
      </c>
      <c r="I490" s="256">
        <v>0</v>
      </c>
      <c r="J490" s="257">
        <v>0</v>
      </c>
      <c r="K490" s="255">
        <v>0</v>
      </c>
      <c r="L490" s="256">
        <v>0</v>
      </c>
      <c r="M490" s="256">
        <v>0</v>
      </c>
      <c r="N490" s="256">
        <v>0</v>
      </c>
      <c r="O490" s="255">
        <v>0</v>
      </c>
      <c r="P490" s="255">
        <v>0</v>
      </c>
      <c r="Q490" s="256">
        <v>0</v>
      </c>
      <c r="R490" s="258">
        <v>0</v>
      </c>
      <c r="S490" s="15"/>
      <c r="T490" s="15"/>
      <c r="U490" s="15"/>
      <c r="V490" s="15"/>
    </row>
    <row r="491" spans="1:22">
      <c r="A491" s="253"/>
      <c r="B491" s="317" t="s">
        <v>108</v>
      </c>
      <c r="C491" s="318">
        <v>0</v>
      </c>
      <c r="D491" s="319">
        <v>0</v>
      </c>
      <c r="E491" s="319">
        <v>0</v>
      </c>
      <c r="F491" s="319">
        <v>0</v>
      </c>
      <c r="G491" s="319">
        <v>0</v>
      </c>
      <c r="H491" s="319">
        <v>0</v>
      </c>
      <c r="I491" s="319">
        <v>0</v>
      </c>
      <c r="J491" s="320">
        <v>0</v>
      </c>
      <c r="K491" s="318">
        <v>0</v>
      </c>
      <c r="L491" s="319">
        <v>0</v>
      </c>
      <c r="M491" s="319">
        <v>0</v>
      </c>
      <c r="N491" s="319">
        <v>0</v>
      </c>
      <c r="O491" s="318">
        <v>0</v>
      </c>
      <c r="P491" s="321">
        <v>0</v>
      </c>
      <c r="Q491" s="319">
        <v>0</v>
      </c>
      <c r="R491" s="322">
        <v>0</v>
      </c>
      <c r="S491" s="15"/>
      <c r="T491" s="15"/>
      <c r="U491" s="15"/>
      <c r="V491" s="15"/>
    </row>
    <row r="492" spans="1:22">
      <c r="A492" s="253"/>
      <c r="B492" s="234" t="s">
        <v>109</v>
      </c>
      <c r="C492" s="249">
        <v>0.86982776612221135</v>
      </c>
      <c r="D492" s="250">
        <v>0.69560443500318192</v>
      </c>
      <c r="E492" s="250">
        <v>0.57709047823187576</v>
      </c>
      <c r="F492" s="250">
        <v>0.16446744520009754</v>
      </c>
      <c r="G492" s="250">
        <v>0.70453333333333334</v>
      </c>
      <c r="H492" s="250">
        <v>0.92469879518072284</v>
      </c>
      <c r="I492" s="250">
        <v>0</v>
      </c>
      <c r="J492" s="251">
        <v>0.74060360286724658</v>
      </c>
      <c r="K492" s="249">
        <v>0</v>
      </c>
      <c r="L492" s="250">
        <v>0</v>
      </c>
      <c r="M492" s="250">
        <v>0</v>
      </c>
      <c r="N492" s="250">
        <v>0</v>
      </c>
      <c r="O492" s="249">
        <v>0</v>
      </c>
      <c r="P492" s="249">
        <v>0</v>
      </c>
      <c r="Q492" s="250">
        <v>0</v>
      </c>
      <c r="R492" s="252">
        <v>0</v>
      </c>
      <c r="S492" s="15"/>
      <c r="T492" s="15"/>
      <c r="U492" s="15"/>
      <c r="V492" s="15"/>
    </row>
    <row r="493" spans="1:22">
      <c r="A493" s="253"/>
      <c r="B493" s="254" t="s">
        <v>110</v>
      </c>
      <c r="C493" s="255">
        <v>0.85580911005415317</v>
      </c>
      <c r="D493" s="256">
        <v>0.68107021622577546</v>
      </c>
      <c r="E493" s="256">
        <v>0.56512911083677997</v>
      </c>
      <c r="F493" s="256">
        <v>0.16249031258072849</v>
      </c>
      <c r="G493" s="256">
        <v>0.64077134986225892</v>
      </c>
      <c r="H493" s="256">
        <v>0.91990090834021465</v>
      </c>
      <c r="I493" s="256">
        <v>0</v>
      </c>
      <c r="J493" s="257">
        <v>0.7296863372616158</v>
      </c>
      <c r="K493" s="255">
        <v>0</v>
      </c>
      <c r="L493" s="256">
        <v>0</v>
      </c>
      <c r="M493" s="256">
        <v>0</v>
      </c>
      <c r="N493" s="256">
        <v>0</v>
      </c>
      <c r="O493" s="255">
        <v>0</v>
      </c>
      <c r="P493" s="255">
        <v>0</v>
      </c>
      <c r="Q493" s="256">
        <v>0</v>
      </c>
      <c r="R493" s="258">
        <v>0</v>
      </c>
      <c r="S493" s="15"/>
      <c r="T493" s="15"/>
      <c r="U493" s="15"/>
      <c r="V493" s="15"/>
    </row>
    <row r="494" spans="1:22">
      <c r="A494" s="253"/>
      <c r="B494" s="317" t="s">
        <v>111</v>
      </c>
      <c r="C494" s="318">
        <v>-1.4018656068058188</v>
      </c>
      <c r="D494" s="319">
        <v>-1.453421877740646</v>
      </c>
      <c r="E494" s="319">
        <v>-1.196136739509579</v>
      </c>
      <c r="F494" s="319">
        <v>-0.19771326193690486</v>
      </c>
      <c r="G494" s="331">
        <v>-6.3761983471074419</v>
      </c>
      <c r="H494" s="319">
        <v>-0.4797886840508192</v>
      </c>
      <c r="I494" s="319">
        <v>0</v>
      </c>
      <c r="J494" s="320">
        <v>-1.0917265605630777</v>
      </c>
      <c r="K494" s="318">
        <v>0</v>
      </c>
      <c r="L494" s="319">
        <v>0</v>
      </c>
      <c r="M494" s="319">
        <v>0</v>
      </c>
      <c r="N494" s="319">
        <v>0</v>
      </c>
      <c r="O494" s="318">
        <v>0</v>
      </c>
      <c r="P494" s="321">
        <v>0</v>
      </c>
      <c r="Q494" s="319">
        <v>0</v>
      </c>
      <c r="R494" s="322">
        <v>0</v>
      </c>
      <c r="S494" s="15"/>
      <c r="T494" s="15"/>
      <c r="U494" s="15"/>
      <c r="V494" s="15"/>
    </row>
    <row r="495" spans="1:22">
      <c r="A495" s="253"/>
      <c r="B495" s="234" t="s">
        <v>112</v>
      </c>
      <c r="C495" s="249">
        <v>2.1363554813504836E-2</v>
      </c>
      <c r="D495" s="250">
        <v>2.5858900929486318E-2</v>
      </c>
      <c r="E495" s="250">
        <v>8.2647125369153085E-2</v>
      </c>
      <c r="F495" s="250">
        <v>0.20166906006990543</v>
      </c>
      <c r="G495" s="250">
        <v>5.3333333333333332E-3</v>
      </c>
      <c r="H495" s="250">
        <v>1.2048192771084338E-2</v>
      </c>
      <c r="I495" s="250">
        <v>0</v>
      </c>
      <c r="J495" s="251">
        <v>4.5356874508232156E-2</v>
      </c>
      <c r="K495" s="249">
        <v>0</v>
      </c>
      <c r="L495" s="250">
        <v>0</v>
      </c>
      <c r="M495" s="250">
        <v>0</v>
      </c>
      <c r="N495" s="250">
        <v>0</v>
      </c>
      <c r="O495" s="249">
        <v>0</v>
      </c>
      <c r="P495" s="249">
        <v>0</v>
      </c>
      <c r="Q495" s="250">
        <v>0</v>
      </c>
      <c r="R495" s="252">
        <v>0</v>
      </c>
      <c r="S495" s="15"/>
      <c r="T495" s="15"/>
      <c r="U495" s="15"/>
      <c r="V495" s="15"/>
    </row>
    <row r="496" spans="1:22">
      <c r="A496" s="253"/>
      <c r="B496" s="254" t="s">
        <v>113</v>
      </c>
      <c r="C496" s="255">
        <v>2.0182086473166959E-2</v>
      </c>
      <c r="D496" s="256">
        <v>2.3960386644295013E-2</v>
      </c>
      <c r="E496" s="256">
        <v>7.3126263399923702E-2</v>
      </c>
      <c r="F496" s="256">
        <v>0.15439593558942563</v>
      </c>
      <c r="G496" s="256">
        <v>6.6115702479338841E-3</v>
      </c>
      <c r="H496" s="256">
        <v>0</v>
      </c>
      <c r="I496" s="256">
        <v>0</v>
      </c>
      <c r="J496" s="257">
        <v>3.9980934130338562E-2</v>
      </c>
      <c r="K496" s="255">
        <v>0</v>
      </c>
      <c r="L496" s="256">
        <v>0</v>
      </c>
      <c r="M496" s="256">
        <v>0</v>
      </c>
      <c r="N496" s="256">
        <v>0</v>
      </c>
      <c r="O496" s="255">
        <v>0</v>
      </c>
      <c r="P496" s="255">
        <v>0</v>
      </c>
      <c r="Q496" s="256">
        <v>0</v>
      </c>
      <c r="R496" s="258">
        <v>0</v>
      </c>
      <c r="S496" s="15"/>
      <c r="T496" s="15"/>
      <c r="U496" s="15"/>
      <c r="V496" s="15"/>
    </row>
    <row r="497" spans="1:22">
      <c r="A497" s="253"/>
      <c r="B497" s="317" t="s">
        <v>114</v>
      </c>
      <c r="C497" s="318">
        <v>-0.11814683403378774</v>
      </c>
      <c r="D497" s="319">
        <v>-0.18985142851913051</v>
      </c>
      <c r="E497" s="319">
        <v>-0.95208619692293828</v>
      </c>
      <c r="F497" s="331">
        <v>-4.7273124480479796</v>
      </c>
      <c r="G497" s="319">
        <v>0.12782369146005509</v>
      </c>
      <c r="H497" s="319">
        <v>-1.2048192771084338</v>
      </c>
      <c r="I497" s="319">
        <v>0</v>
      </c>
      <c r="J497" s="320">
        <v>-0.53759403778935944</v>
      </c>
      <c r="K497" s="318">
        <v>0</v>
      </c>
      <c r="L497" s="319">
        <v>0</v>
      </c>
      <c r="M497" s="319">
        <v>0</v>
      </c>
      <c r="N497" s="319">
        <v>0</v>
      </c>
      <c r="O497" s="318">
        <v>0</v>
      </c>
      <c r="P497" s="321">
        <v>0</v>
      </c>
      <c r="Q497" s="319">
        <v>0</v>
      </c>
      <c r="R497" s="322">
        <v>0</v>
      </c>
      <c r="S497" s="15"/>
      <c r="T497" s="15"/>
      <c r="U497" s="15"/>
      <c r="V497" s="15"/>
    </row>
    <row r="498" spans="1:22">
      <c r="A498" s="253"/>
      <c r="B498" s="234" t="s">
        <v>115</v>
      </c>
      <c r="C498" s="249">
        <v>0.10261993943987376</v>
      </c>
      <c r="D498" s="250">
        <v>0.27576254627264335</v>
      </c>
      <c r="E498" s="250">
        <v>0.2632106197008669</v>
      </c>
      <c r="F498" s="250">
        <v>0.59468393529682717</v>
      </c>
      <c r="G498" s="250">
        <v>0.21920000000000001</v>
      </c>
      <c r="H498" s="250">
        <v>4.2168674698795178E-2</v>
      </c>
      <c r="I498" s="250">
        <v>0</v>
      </c>
      <c r="J498" s="251">
        <v>0.18399921612575076</v>
      </c>
      <c r="K498" s="249">
        <v>0</v>
      </c>
      <c r="L498" s="250">
        <v>0</v>
      </c>
      <c r="M498" s="250">
        <v>0</v>
      </c>
      <c r="N498" s="250">
        <v>0</v>
      </c>
      <c r="O498" s="249">
        <v>0</v>
      </c>
      <c r="P498" s="249">
        <v>0</v>
      </c>
      <c r="Q498" s="250">
        <v>0</v>
      </c>
      <c r="R498" s="252">
        <v>0</v>
      </c>
      <c r="S498" s="15"/>
      <c r="T498" s="15"/>
      <c r="U498" s="15"/>
      <c r="V498" s="15"/>
    </row>
    <row r="499" spans="1:22">
      <c r="A499" s="253"/>
      <c r="B499" s="254" t="s">
        <v>116</v>
      </c>
      <c r="C499" s="255">
        <v>0.11949872496490072</v>
      </c>
      <c r="D499" s="256">
        <v>0.29285587967615739</v>
      </c>
      <c r="E499" s="256">
        <v>0.34531629677020165</v>
      </c>
      <c r="F499" s="256">
        <v>0.64488073710496852</v>
      </c>
      <c r="G499" s="256">
        <v>0.30082644628099175</v>
      </c>
      <c r="H499" s="256">
        <v>8.0099091659785307E-2</v>
      </c>
      <c r="I499" s="256">
        <v>0</v>
      </c>
      <c r="J499" s="257">
        <v>0.2215390826009348</v>
      </c>
      <c r="K499" s="255">
        <v>0</v>
      </c>
      <c r="L499" s="256">
        <v>0</v>
      </c>
      <c r="M499" s="256">
        <v>0</v>
      </c>
      <c r="N499" s="256">
        <v>0</v>
      </c>
      <c r="O499" s="255">
        <v>0</v>
      </c>
      <c r="P499" s="255">
        <v>0</v>
      </c>
      <c r="Q499" s="256">
        <v>0</v>
      </c>
      <c r="R499" s="258">
        <v>0</v>
      </c>
      <c r="S499" s="15"/>
      <c r="T499" s="15"/>
      <c r="U499" s="15"/>
      <c r="V499" s="15"/>
    </row>
    <row r="500" spans="1:22">
      <c r="A500" s="253"/>
      <c r="B500" s="317" t="s">
        <v>117</v>
      </c>
      <c r="C500" s="318">
        <v>1.687878552502696</v>
      </c>
      <c r="D500" s="319">
        <v>1.7093333403514044</v>
      </c>
      <c r="E500" s="331">
        <v>8.2105677069334746</v>
      </c>
      <c r="F500" s="319">
        <v>5.0196801808141345</v>
      </c>
      <c r="G500" s="331">
        <v>8.1626446280991747</v>
      </c>
      <c r="H500" s="319">
        <v>3.7930416960990128</v>
      </c>
      <c r="I500" s="319">
        <v>0</v>
      </c>
      <c r="J500" s="320">
        <v>3.7539866475184036</v>
      </c>
      <c r="K500" s="318">
        <v>0</v>
      </c>
      <c r="L500" s="319">
        <v>0</v>
      </c>
      <c r="M500" s="319">
        <v>0</v>
      </c>
      <c r="N500" s="319">
        <v>0</v>
      </c>
      <c r="O500" s="318">
        <v>0</v>
      </c>
      <c r="P500" s="321">
        <v>0</v>
      </c>
      <c r="Q500" s="319">
        <v>0</v>
      </c>
      <c r="R500" s="322">
        <v>0</v>
      </c>
      <c r="S500" s="15"/>
      <c r="T500" s="15"/>
      <c r="U500" s="15"/>
      <c r="V500" s="15"/>
    </row>
    <row r="501" spans="1:22">
      <c r="A501" s="253"/>
      <c r="B501" s="234" t="s">
        <v>118</v>
      </c>
      <c r="C501" s="249">
        <v>5.4829981290069828E-4</v>
      </c>
      <c r="D501" s="250">
        <v>2.7741177946883936E-3</v>
      </c>
      <c r="E501" s="250">
        <v>4.5429646565685435E-3</v>
      </c>
      <c r="F501" s="250">
        <v>2.1378058362912185E-2</v>
      </c>
      <c r="G501" s="250">
        <v>7.0933333333333334E-2</v>
      </c>
      <c r="H501" s="250">
        <v>0</v>
      </c>
      <c r="I501" s="250">
        <v>0</v>
      </c>
      <c r="J501" s="251">
        <v>2.6874281735828468E-3</v>
      </c>
      <c r="K501" s="249">
        <v>0</v>
      </c>
      <c r="L501" s="250">
        <v>0</v>
      </c>
      <c r="M501" s="250">
        <v>0</v>
      </c>
      <c r="N501" s="250">
        <v>0</v>
      </c>
      <c r="O501" s="249">
        <v>0</v>
      </c>
      <c r="P501" s="249">
        <v>0</v>
      </c>
      <c r="Q501" s="250">
        <v>0</v>
      </c>
      <c r="R501" s="252">
        <v>0</v>
      </c>
      <c r="S501" s="15"/>
      <c r="T501" s="15"/>
      <c r="U501" s="15"/>
      <c r="V501" s="15"/>
    </row>
    <row r="502" spans="1:22">
      <c r="A502" s="253"/>
      <c r="B502" s="254" t="s">
        <v>119</v>
      </c>
      <c r="C502" s="255">
        <v>2.5249992836881465E-4</v>
      </c>
      <c r="D502" s="256">
        <v>2.1135174537721974E-3</v>
      </c>
      <c r="E502" s="256">
        <v>3.5908341368031216E-3</v>
      </c>
      <c r="F502" s="256">
        <v>3.8233014724877293E-2</v>
      </c>
      <c r="G502" s="256">
        <v>5.1790633608815424E-2</v>
      </c>
      <c r="H502" s="256">
        <v>0</v>
      </c>
      <c r="I502" s="256">
        <v>0</v>
      </c>
      <c r="J502" s="257">
        <v>2.3234096778743502E-3</v>
      </c>
      <c r="K502" s="255">
        <v>0</v>
      </c>
      <c r="L502" s="256">
        <v>0</v>
      </c>
      <c r="M502" s="256">
        <v>0</v>
      </c>
      <c r="N502" s="256">
        <v>0</v>
      </c>
      <c r="O502" s="255">
        <v>0</v>
      </c>
      <c r="P502" s="255">
        <v>0</v>
      </c>
      <c r="Q502" s="256">
        <v>0</v>
      </c>
      <c r="R502" s="258">
        <v>0</v>
      </c>
      <c r="S502" s="15"/>
      <c r="T502" s="15"/>
      <c r="U502" s="15"/>
      <c r="V502" s="15"/>
    </row>
    <row r="503" spans="1:22">
      <c r="A503" s="253"/>
      <c r="B503" s="317" t="s">
        <v>120</v>
      </c>
      <c r="C503" s="318">
        <v>-2.9579988453188363E-2</v>
      </c>
      <c r="D503" s="319">
        <v>-6.6060034091619618E-2</v>
      </c>
      <c r="E503" s="319">
        <v>-9.5213051976542187E-2</v>
      </c>
      <c r="F503" s="319">
        <v>1.6854956361965108</v>
      </c>
      <c r="G503" s="319">
        <v>-1.9142699724517911</v>
      </c>
      <c r="H503" s="319">
        <v>0</v>
      </c>
      <c r="I503" s="319">
        <v>0</v>
      </c>
      <c r="J503" s="320">
        <v>-3.6401849570849659E-2</v>
      </c>
      <c r="K503" s="318">
        <v>0</v>
      </c>
      <c r="L503" s="319">
        <v>0</v>
      </c>
      <c r="M503" s="319">
        <v>0</v>
      </c>
      <c r="N503" s="319">
        <v>0</v>
      </c>
      <c r="O503" s="318">
        <v>0</v>
      </c>
      <c r="P503" s="321">
        <v>0</v>
      </c>
      <c r="Q503" s="319">
        <v>0</v>
      </c>
      <c r="R503" s="322">
        <v>0</v>
      </c>
      <c r="S503" s="15"/>
      <c r="T503" s="15"/>
      <c r="U503" s="15"/>
      <c r="V503" s="15"/>
    </row>
    <row r="504" spans="1:22">
      <c r="A504" s="253"/>
      <c r="B504" s="234" t="s">
        <v>121</v>
      </c>
      <c r="C504" s="249">
        <v>5.6404398115093533E-3</v>
      </c>
      <c r="D504" s="250">
        <v>0</v>
      </c>
      <c r="E504" s="250">
        <v>7.2508812041535683E-2</v>
      </c>
      <c r="F504" s="250">
        <v>1.7801501070257676E-2</v>
      </c>
      <c r="G504" s="250">
        <v>0</v>
      </c>
      <c r="H504" s="250">
        <v>2.1084337349397589E-2</v>
      </c>
      <c r="I504" s="250">
        <v>0</v>
      </c>
      <c r="J504" s="251">
        <v>2.7352878325187673E-2</v>
      </c>
      <c r="K504" s="249">
        <v>0</v>
      </c>
      <c r="L504" s="250">
        <v>0</v>
      </c>
      <c r="M504" s="250">
        <v>0</v>
      </c>
      <c r="N504" s="250">
        <v>0</v>
      </c>
      <c r="O504" s="249">
        <v>0</v>
      </c>
      <c r="P504" s="249">
        <v>0</v>
      </c>
      <c r="Q504" s="250">
        <v>0</v>
      </c>
      <c r="R504" s="252">
        <v>0</v>
      </c>
      <c r="S504" s="15"/>
      <c r="T504" s="15"/>
      <c r="U504" s="15"/>
      <c r="V504" s="15"/>
    </row>
    <row r="505" spans="1:22">
      <c r="A505" s="253"/>
      <c r="B505" s="254" t="s">
        <v>122</v>
      </c>
      <c r="C505" s="255">
        <v>4.2575785794103319E-3</v>
      </c>
      <c r="D505" s="256">
        <v>0</v>
      </c>
      <c r="E505" s="256">
        <v>1.2837494856291544E-2</v>
      </c>
      <c r="F505" s="256">
        <v>0</v>
      </c>
      <c r="G505" s="256">
        <v>0</v>
      </c>
      <c r="H505" s="256">
        <v>0</v>
      </c>
      <c r="I505" s="256">
        <v>0</v>
      </c>
      <c r="J505" s="257">
        <v>6.4702363292364409E-3</v>
      </c>
      <c r="K505" s="255">
        <v>0</v>
      </c>
      <c r="L505" s="256">
        <v>0</v>
      </c>
      <c r="M505" s="256">
        <v>0</v>
      </c>
      <c r="N505" s="256">
        <v>0</v>
      </c>
      <c r="O505" s="255">
        <v>0</v>
      </c>
      <c r="P505" s="255">
        <v>0</v>
      </c>
      <c r="Q505" s="256">
        <v>0</v>
      </c>
      <c r="R505" s="258">
        <v>0</v>
      </c>
      <c r="S505" s="15"/>
      <c r="T505" s="15"/>
      <c r="U505" s="15"/>
      <c r="V505" s="15"/>
    </row>
    <row r="506" spans="1:22">
      <c r="A506" s="253"/>
      <c r="B506" s="317" t="s">
        <v>123</v>
      </c>
      <c r="C506" s="318">
        <v>-0.13828612320990213</v>
      </c>
      <c r="D506" s="319">
        <v>0</v>
      </c>
      <c r="E506" s="331">
        <v>-5.9671317185244144</v>
      </c>
      <c r="F506" s="319">
        <v>-1.7801501070257675</v>
      </c>
      <c r="G506" s="319">
        <v>0</v>
      </c>
      <c r="H506" s="319">
        <v>-2.1084337349397591</v>
      </c>
      <c r="I506" s="319">
        <v>0</v>
      </c>
      <c r="J506" s="320">
        <v>-2.0882641995951232</v>
      </c>
      <c r="K506" s="318">
        <v>0</v>
      </c>
      <c r="L506" s="319">
        <v>0</v>
      </c>
      <c r="M506" s="319">
        <v>0</v>
      </c>
      <c r="N506" s="319">
        <v>0</v>
      </c>
      <c r="O506" s="318">
        <v>0</v>
      </c>
      <c r="P506" s="321">
        <v>0</v>
      </c>
      <c r="Q506" s="319">
        <v>0</v>
      </c>
      <c r="R506" s="322">
        <v>0</v>
      </c>
      <c r="S506" s="15"/>
      <c r="T506" s="15"/>
      <c r="U506" s="15"/>
      <c r="V506" s="15"/>
    </row>
    <row r="507" spans="1:22">
      <c r="A507" s="253"/>
      <c r="B507" s="234" t="s">
        <v>124</v>
      </c>
      <c r="C507" s="249">
        <v>0</v>
      </c>
      <c r="D507" s="250">
        <v>0</v>
      </c>
      <c r="E507" s="250">
        <v>0</v>
      </c>
      <c r="F507" s="250">
        <v>0</v>
      </c>
      <c r="G507" s="250">
        <v>0</v>
      </c>
      <c r="H507" s="250">
        <v>0</v>
      </c>
      <c r="I507" s="250">
        <v>0</v>
      </c>
      <c r="J507" s="251">
        <v>0</v>
      </c>
      <c r="K507" s="249">
        <v>0</v>
      </c>
      <c r="L507" s="250">
        <v>0</v>
      </c>
      <c r="M507" s="250">
        <v>0</v>
      </c>
      <c r="N507" s="250">
        <v>0</v>
      </c>
      <c r="O507" s="249">
        <v>0</v>
      </c>
      <c r="P507" s="249">
        <v>0</v>
      </c>
      <c r="Q507" s="250">
        <v>0</v>
      </c>
      <c r="R507" s="252">
        <v>0</v>
      </c>
      <c r="S507" s="15"/>
      <c r="T507" s="15"/>
      <c r="U507" s="15"/>
      <c r="V507" s="15"/>
    </row>
    <row r="508" spans="1:22">
      <c r="A508" s="253"/>
      <c r="B508" s="254" t="s">
        <v>125</v>
      </c>
      <c r="C508" s="255">
        <v>0</v>
      </c>
      <c r="D508" s="256">
        <v>0</v>
      </c>
      <c r="E508" s="256">
        <v>0</v>
      </c>
      <c r="F508" s="256">
        <v>0</v>
      </c>
      <c r="G508" s="256">
        <v>0</v>
      </c>
      <c r="H508" s="256">
        <v>0</v>
      </c>
      <c r="I508" s="256">
        <v>0</v>
      </c>
      <c r="J508" s="257">
        <v>0</v>
      </c>
      <c r="K508" s="255">
        <v>0</v>
      </c>
      <c r="L508" s="256">
        <v>0</v>
      </c>
      <c r="M508" s="256">
        <v>0</v>
      </c>
      <c r="N508" s="256">
        <v>0</v>
      </c>
      <c r="O508" s="255">
        <v>0</v>
      </c>
      <c r="P508" s="255">
        <v>0</v>
      </c>
      <c r="Q508" s="256">
        <v>0</v>
      </c>
      <c r="R508" s="258">
        <v>0</v>
      </c>
      <c r="S508" s="15"/>
      <c r="T508" s="15"/>
      <c r="U508" s="15"/>
      <c r="V508" s="15"/>
    </row>
    <row r="509" spans="1:22">
      <c r="A509" s="260"/>
      <c r="B509" s="317" t="s">
        <v>126</v>
      </c>
      <c r="C509" s="318">
        <v>0</v>
      </c>
      <c r="D509" s="319">
        <v>0</v>
      </c>
      <c r="E509" s="319">
        <v>0</v>
      </c>
      <c r="F509" s="319">
        <v>0</v>
      </c>
      <c r="G509" s="319">
        <v>0</v>
      </c>
      <c r="H509" s="319">
        <v>0</v>
      </c>
      <c r="I509" s="319">
        <v>0</v>
      </c>
      <c r="J509" s="320">
        <v>0</v>
      </c>
      <c r="K509" s="318">
        <v>0</v>
      </c>
      <c r="L509" s="319">
        <v>0</v>
      </c>
      <c r="M509" s="319">
        <v>0</v>
      </c>
      <c r="N509" s="319">
        <v>0</v>
      </c>
      <c r="O509" s="318">
        <v>0</v>
      </c>
      <c r="P509" s="321">
        <v>0</v>
      </c>
      <c r="Q509" s="319">
        <v>0</v>
      </c>
      <c r="R509" s="322">
        <v>0</v>
      </c>
      <c r="S509" s="15"/>
      <c r="T509" s="15"/>
      <c r="U509" s="15"/>
      <c r="V509" s="15"/>
    </row>
    <row r="510" spans="1:22">
      <c r="A510" s="248" t="s">
        <v>84</v>
      </c>
      <c r="B510" s="234" t="s">
        <v>91</v>
      </c>
      <c r="C510" s="249">
        <v>0.93734946053039003</v>
      </c>
      <c r="D510" s="250">
        <v>0.97048296708604442</v>
      </c>
      <c r="E510" s="250">
        <v>0.96096778445481612</v>
      </c>
      <c r="F510" s="250">
        <v>0.96105104806279595</v>
      </c>
      <c r="G510" s="250">
        <v>0.97700540626430543</v>
      </c>
      <c r="H510" s="250">
        <v>0.95030607433769376</v>
      </c>
      <c r="I510" s="250">
        <v>0</v>
      </c>
      <c r="J510" s="251">
        <v>0.95187980927339544</v>
      </c>
      <c r="K510" s="249">
        <v>0</v>
      </c>
      <c r="L510" s="250">
        <v>0.71155371229742392</v>
      </c>
      <c r="M510" s="250">
        <v>0.55557131886020694</v>
      </c>
      <c r="N510" s="250">
        <v>0.53152215102365485</v>
      </c>
      <c r="O510" s="249">
        <v>0.6406455617431891</v>
      </c>
      <c r="P510" s="249">
        <v>0</v>
      </c>
      <c r="Q510" s="250">
        <v>0</v>
      </c>
      <c r="R510" s="252">
        <v>0</v>
      </c>
      <c r="S510" s="15"/>
      <c r="T510" s="15"/>
      <c r="U510" s="15"/>
      <c r="V510" s="15"/>
    </row>
    <row r="511" spans="1:22">
      <c r="A511" s="253"/>
      <c r="B511" s="254" t="s">
        <v>92</v>
      </c>
      <c r="C511" s="255">
        <v>0.93168968594118717</v>
      </c>
      <c r="D511" s="256">
        <v>0.96045947492905881</v>
      </c>
      <c r="E511" s="256">
        <v>0.92522772459684788</v>
      </c>
      <c r="F511" s="256">
        <v>0.97518555056656309</v>
      </c>
      <c r="G511" s="256">
        <v>0.94919192277803421</v>
      </c>
      <c r="H511" s="256">
        <v>0.94901953109710757</v>
      </c>
      <c r="I511" s="256">
        <v>0</v>
      </c>
      <c r="J511" s="257">
        <v>0.94203449272222006</v>
      </c>
      <c r="K511" s="255">
        <v>0</v>
      </c>
      <c r="L511" s="256">
        <v>0.69934961638374804</v>
      </c>
      <c r="M511" s="256">
        <v>0.50971152023712296</v>
      </c>
      <c r="N511" s="256">
        <v>0.58590924689174562</v>
      </c>
      <c r="O511" s="255">
        <v>0.6246239240217164</v>
      </c>
      <c r="P511" s="255">
        <v>0</v>
      </c>
      <c r="Q511" s="256">
        <v>0</v>
      </c>
      <c r="R511" s="258">
        <v>0</v>
      </c>
      <c r="S511" s="15"/>
      <c r="T511" s="15"/>
      <c r="U511" s="15"/>
      <c r="V511" s="15"/>
    </row>
    <row r="512" spans="1:22">
      <c r="A512" s="253"/>
      <c r="B512" s="317" t="s">
        <v>93</v>
      </c>
      <c r="C512" s="318">
        <v>-0.56597745892028595</v>
      </c>
      <c r="D512" s="319">
        <v>-1.0023492156985614</v>
      </c>
      <c r="E512" s="319">
        <v>-3.5740059857968243</v>
      </c>
      <c r="F512" s="319">
        <v>1.4134502503767132</v>
      </c>
      <c r="G512" s="319">
        <v>-2.7813483486271218</v>
      </c>
      <c r="H512" s="319">
        <v>-0.1286543240586191</v>
      </c>
      <c r="I512" s="319">
        <v>0</v>
      </c>
      <c r="J512" s="320">
        <v>-0.9845316551175376</v>
      </c>
      <c r="K512" s="318">
        <v>0</v>
      </c>
      <c r="L512" s="319">
        <v>-1.2204095913675883</v>
      </c>
      <c r="M512" s="319">
        <v>-4.585979862308398</v>
      </c>
      <c r="N512" s="331">
        <v>5.4387095868090762</v>
      </c>
      <c r="O512" s="318">
        <v>-1.6021637721472692</v>
      </c>
      <c r="P512" s="321">
        <v>0</v>
      </c>
      <c r="Q512" s="319">
        <v>0</v>
      </c>
      <c r="R512" s="322">
        <v>0</v>
      </c>
      <c r="S512" s="15"/>
      <c r="T512" s="15"/>
      <c r="U512" s="15"/>
      <c r="V512" s="15"/>
    </row>
    <row r="513" spans="1:22">
      <c r="A513" s="253"/>
      <c r="B513" s="234" t="s">
        <v>94</v>
      </c>
      <c r="C513" s="249">
        <v>2.3933836193857666E-2</v>
      </c>
      <c r="D513" s="250">
        <v>1.046589687686094E-2</v>
      </c>
      <c r="E513" s="250">
        <v>1.0934232836250127E-2</v>
      </c>
      <c r="F513" s="250">
        <v>1.8803278720510734E-2</v>
      </c>
      <c r="G513" s="250">
        <v>1.3052212633785179E-3</v>
      </c>
      <c r="H513" s="250">
        <v>9.8440924595040863E-3</v>
      </c>
      <c r="I513" s="250">
        <v>0</v>
      </c>
      <c r="J513" s="251">
        <v>1.7559924076971396E-2</v>
      </c>
      <c r="K513" s="249">
        <v>0</v>
      </c>
      <c r="L513" s="250">
        <v>6.2808535988434527E-2</v>
      </c>
      <c r="M513" s="250">
        <v>0.20528913560069167</v>
      </c>
      <c r="N513" s="250">
        <v>0.16922651499892463</v>
      </c>
      <c r="O513" s="249">
        <v>0.1230853539190666</v>
      </c>
      <c r="P513" s="249">
        <v>0</v>
      </c>
      <c r="Q513" s="250">
        <v>0</v>
      </c>
      <c r="R513" s="252">
        <v>0</v>
      </c>
      <c r="S513" s="15"/>
      <c r="T513" s="15"/>
      <c r="U513" s="15"/>
      <c r="V513" s="15"/>
    </row>
    <row r="514" spans="1:22">
      <c r="A514" s="253"/>
      <c r="B514" s="254" t="s">
        <v>95</v>
      </c>
      <c r="C514" s="255">
        <v>2.493947640704524E-2</v>
      </c>
      <c r="D514" s="256">
        <v>1.0128315006223444E-2</v>
      </c>
      <c r="E514" s="256">
        <v>1.7236092135061165E-2</v>
      </c>
      <c r="F514" s="256">
        <v>1.973981431113488E-2</v>
      </c>
      <c r="G514" s="256">
        <v>3.0808313905555358E-3</v>
      </c>
      <c r="H514" s="256">
        <v>1.7632784061998513E-2</v>
      </c>
      <c r="I514" s="256">
        <v>0</v>
      </c>
      <c r="J514" s="257">
        <v>1.9289050790323552E-2</v>
      </c>
      <c r="K514" s="255">
        <v>0</v>
      </c>
      <c r="L514" s="256">
        <v>6.4030934727940594E-2</v>
      </c>
      <c r="M514" s="256">
        <v>0.20204011572986924</v>
      </c>
      <c r="N514" s="256">
        <v>0.16355357284269989</v>
      </c>
      <c r="O514" s="255">
        <v>0.12005678008614222</v>
      </c>
      <c r="P514" s="255">
        <v>0</v>
      </c>
      <c r="Q514" s="256">
        <v>0</v>
      </c>
      <c r="R514" s="258">
        <v>0</v>
      </c>
      <c r="S514" s="15"/>
      <c r="T514" s="15"/>
      <c r="U514" s="15"/>
      <c r="V514" s="15"/>
    </row>
    <row r="515" spans="1:22">
      <c r="A515" s="253"/>
      <c r="B515" s="317" t="s">
        <v>96</v>
      </c>
      <c r="C515" s="318">
        <v>0.10056402131875739</v>
      </c>
      <c r="D515" s="319">
        <v>-3.3758187063749612E-2</v>
      </c>
      <c r="E515" s="319">
        <v>0.63018592988110389</v>
      </c>
      <c r="F515" s="319">
        <v>9.3653559062414557E-2</v>
      </c>
      <c r="G515" s="319">
        <v>0.1775610127177018</v>
      </c>
      <c r="H515" s="319">
        <v>0.77886916024944264</v>
      </c>
      <c r="I515" s="319">
        <v>0</v>
      </c>
      <c r="J515" s="320">
        <v>0.1729126713352156</v>
      </c>
      <c r="K515" s="318">
        <v>0</v>
      </c>
      <c r="L515" s="319">
        <v>0.1222398739506067</v>
      </c>
      <c r="M515" s="319">
        <v>-0.32490198708224338</v>
      </c>
      <c r="N515" s="319">
        <v>-0.56729421562247417</v>
      </c>
      <c r="O515" s="318">
        <v>-0.3028573832924375</v>
      </c>
      <c r="P515" s="321">
        <v>0</v>
      </c>
      <c r="Q515" s="319">
        <v>0</v>
      </c>
      <c r="R515" s="322">
        <v>0</v>
      </c>
      <c r="S515" s="15"/>
      <c r="T515" s="15"/>
      <c r="U515" s="15"/>
      <c r="V515" s="15"/>
    </row>
    <row r="516" spans="1:22">
      <c r="A516" s="253"/>
      <c r="B516" s="234" t="s">
        <v>97</v>
      </c>
      <c r="C516" s="249">
        <v>2.246463571262251E-2</v>
      </c>
      <c r="D516" s="250">
        <v>1.9051136037094688E-2</v>
      </c>
      <c r="E516" s="250">
        <v>2.8097982708933718E-2</v>
      </c>
      <c r="F516" s="250">
        <v>1.8752548695945694E-2</v>
      </c>
      <c r="G516" s="250">
        <v>2.1224032717546335E-2</v>
      </c>
      <c r="H516" s="250">
        <v>3.984983320280211E-2</v>
      </c>
      <c r="I516" s="250">
        <v>0</v>
      </c>
      <c r="J516" s="251">
        <v>2.2381223538809863E-2</v>
      </c>
      <c r="K516" s="249">
        <v>0</v>
      </c>
      <c r="L516" s="250">
        <v>0.22286970247739457</v>
      </c>
      <c r="M516" s="250">
        <v>0.20855937791565843</v>
      </c>
      <c r="N516" s="250">
        <v>0.21169871740162025</v>
      </c>
      <c r="O516" s="249">
        <v>0.21677830313623667</v>
      </c>
      <c r="P516" s="249">
        <v>0</v>
      </c>
      <c r="Q516" s="250">
        <v>0</v>
      </c>
      <c r="R516" s="252">
        <v>0</v>
      </c>
      <c r="S516" s="15"/>
      <c r="T516" s="15"/>
      <c r="U516" s="15"/>
      <c r="V516" s="15"/>
    </row>
    <row r="517" spans="1:22">
      <c r="A517" s="253"/>
      <c r="B517" s="254" t="s">
        <v>98</v>
      </c>
      <c r="C517" s="255">
        <v>2.7018221062778132E-2</v>
      </c>
      <c r="D517" s="256">
        <v>2.9412210064717764E-2</v>
      </c>
      <c r="E517" s="256">
        <v>2.2750144329956278E-2</v>
      </c>
      <c r="F517" s="256">
        <v>3.4187403767252746E-3</v>
      </c>
      <c r="G517" s="256">
        <v>4.7395888806049634E-2</v>
      </c>
      <c r="H517" s="256">
        <v>3.3347684840893968E-2</v>
      </c>
      <c r="I517" s="256">
        <v>0</v>
      </c>
      <c r="J517" s="257">
        <v>2.5236408796064001E-2</v>
      </c>
      <c r="K517" s="255">
        <v>0</v>
      </c>
      <c r="L517" s="256">
        <v>0.23408441452391071</v>
      </c>
      <c r="M517" s="256">
        <v>0.25067421554650088</v>
      </c>
      <c r="N517" s="256">
        <v>0.16914711084127446</v>
      </c>
      <c r="O517" s="255">
        <v>0.23336676799389736</v>
      </c>
      <c r="P517" s="255">
        <v>0</v>
      </c>
      <c r="Q517" s="256">
        <v>0</v>
      </c>
      <c r="R517" s="258">
        <v>0</v>
      </c>
      <c r="S517" s="15"/>
      <c r="T517" s="15"/>
      <c r="U517" s="15"/>
      <c r="V517" s="15"/>
    </row>
    <row r="518" spans="1:22">
      <c r="A518" s="253"/>
      <c r="B518" s="317" t="s">
        <v>99</v>
      </c>
      <c r="C518" s="318">
        <v>0.45535853501556223</v>
      </c>
      <c r="D518" s="319">
        <v>1.0361074027623076</v>
      </c>
      <c r="E518" s="319">
        <v>-0.53478383789774409</v>
      </c>
      <c r="F518" s="319">
        <v>-1.5333808319220421</v>
      </c>
      <c r="G518" s="319">
        <v>2.6171856088503298</v>
      </c>
      <c r="H518" s="319">
        <v>-0.65021483619081422</v>
      </c>
      <c r="I518" s="319">
        <v>0</v>
      </c>
      <c r="J518" s="320">
        <v>0.28551852572541381</v>
      </c>
      <c r="K518" s="318">
        <v>0</v>
      </c>
      <c r="L518" s="319">
        <v>1.121471204651614</v>
      </c>
      <c r="M518" s="319">
        <v>4.211483763084245</v>
      </c>
      <c r="N518" s="331">
        <v>-4.2551606560345787</v>
      </c>
      <c r="O518" s="318">
        <v>1.658846485766069</v>
      </c>
      <c r="P518" s="321">
        <v>0</v>
      </c>
      <c r="Q518" s="319">
        <v>0</v>
      </c>
      <c r="R518" s="322">
        <v>0</v>
      </c>
      <c r="S518" s="15"/>
      <c r="T518" s="15"/>
      <c r="U518" s="15"/>
      <c r="V518" s="15"/>
    </row>
    <row r="519" spans="1:22">
      <c r="A519" s="253"/>
      <c r="B519" s="234" t="s">
        <v>100</v>
      </c>
      <c r="C519" s="249">
        <v>1.6252067563129743E-2</v>
      </c>
      <c r="D519" s="250">
        <v>0</v>
      </c>
      <c r="E519" s="250">
        <v>0</v>
      </c>
      <c r="F519" s="250">
        <v>1.3931245207476045E-3</v>
      </c>
      <c r="G519" s="250">
        <v>4.653397547697325E-4</v>
      </c>
      <c r="H519" s="250">
        <v>0</v>
      </c>
      <c r="I519" s="250">
        <v>0</v>
      </c>
      <c r="J519" s="251">
        <v>8.1790431108233544E-3</v>
      </c>
      <c r="K519" s="249">
        <v>0</v>
      </c>
      <c r="L519" s="250">
        <v>2.7680492367469444E-3</v>
      </c>
      <c r="M519" s="250">
        <v>3.0580167623442962E-2</v>
      </c>
      <c r="N519" s="250">
        <v>8.7552616575800296E-2</v>
      </c>
      <c r="O519" s="249">
        <v>1.949078120150766E-2</v>
      </c>
      <c r="P519" s="249">
        <v>0</v>
      </c>
      <c r="Q519" s="250">
        <v>0</v>
      </c>
      <c r="R519" s="252">
        <v>0</v>
      </c>
      <c r="S519" s="15"/>
      <c r="T519" s="15"/>
      <c r="U519" s="15"/>
      <c r="V519" s="15"/>
    </row>
    <row r="520" spans="1:22">
      <c r="A520" s="253"/>
      <c r="B520" s="254" t="s">
        <v>101</v>
      </c>
      <c r="C520" s="255">
        <v>1.6352616588989444E-2</v>
      </c>
      <c r="D520" s="256">
        <v>0</v>
      </c>
      <c r="E520" s="256">
        <v>3.4786038938134638E-2</v>
      </c>
      <c r="F520" s="256">
        <v>1.6558947455767511E-3</v>
      </c>
      <c r="G520" s="256">
        <v>3.3135702536064664E-4</v>
      </c>
      <c r="H520" s="256">
        <v>0</v>
      </c>
      <c r="I520" s="256">
        <v>0</v>
      </c>
      <c r="J520" s="257">
        <v>1.3440047691392367E-2</v>
      </c>
      <c r="K520" s="255">
        <v>0</v>
      </c>
      <c r="L520" s="256">
        <v>2.5350343644007004E-3</v>
      </c>
      <c r="M520" s="256">
        <v>3.7574148486506934E-2</v>
      </c>
      <c r="N520" s="256">
        <v>8.1390069424280023E-2</v>
      </c>
      <c r="O520" s="255">
        <v>2.1952527898244027E-2</v>
      </c>
      <c r="P520" s="255">
        <v>0</v>
      </c>
      <c r="Q520" s="256">
        <v>0</v>
      </c>
      <c r="R520" s="258">
        <v>0</v>
      </c>
      <c r="S520" s="15"/>
      <c r="T520" s="15"/>
      <c r="U520" s="15"/>
      <c r="V520" s="15"/>
    </row>
    <row r="521" spans="1:22">
      <c r="A521" s="253"/>
      <c r="B521" s="317" t="s">
        <v>102</v>
      </c>
      <c r="C521" s="318">
        <v>1.0054902585970166E-2</v>
      </c>
      <c r="D521" s="319">
        <v>0</v>
      </c>
      <c r="E521" s="319">
        <v>0</v>
      </c>
      <c r="F521" s="319">
        <v>2.6277022482914667E-2</v>
      </c>
      <c r="G521" s="319">
        <v>-1.3398272940908586E-2</v>
      </c>
      <c r="H521" s="319">
        <v>0</v>
      </c>
      <c r="I521" s="319">
        <v>0</v>
      </c>
      <c r="J521" s="320">
        <v>0.52610045805690131</v>
      </c>
      <c r="K521" s="318">
        <v>0</v>
      </c>
      <c r="L521" s="319">
        <v>-2.3301487234624399E-2</v>
      </c>
      <c r="M521" s="319">
        <v>0.6993980863063971</v>
      </c>
      <c r="N521" s="319">
        <v>-0.61625471515202723</v>
      </c>
      <c r="O521" s="318">
        <v>0.24617466967363671</v>
      </c>
      <c r="P521" s="321">
        <v>0</v>
      </c>
      <c r="Q521" s="319">
        <v>0</v>
      </c>
      <c r="R521" s="322">
        <v>0</v>
      </c>
      <c r="S521" s="15"/>
      <c r="T521" s="15"/>
      <c r="U521" s="15"/>
      <c r="V521" s="15"/>
    </row>
    <row r="522" spans="1:22">
      <c r="A522" s="253"/>
      <c r="B522" s="234" t="s">
        <v>103</v>
      </c>
      <c r="C522" s="249">
        <v>0</v>
      </c>
      <c r="D522" s="250">
        <v>0</v>
      </c>
      <c r="E522" s="250">
        <v>0</v>
      </c>
      <c r="F522" s="250">
        <v>0</v>
      </c>
      <c r="G522" s="250">
        <v>0</v>
      </c>
      <c r="H522" s="250">
        <v>0</v>
      </c>
      <c r="I522" s="250">
        <v>0</v>
      </c>
      <c r="J522" s="251">
        <v>0</v>
      </c>
      <c r="K522" s="249">
        <v>0</v>
      </c>
      <c r="L522" s="250">
        <v>0</v>
      </c>
      <c r="M522" s="250">
        <v>0</v>
      </c>
      <c r="N522" s="250">
        <v>0</v>
      </c>
      <c r="O522" s="249">
        <v>0</v>
      </c>
      <c r="P522" s="249">
        <v>0</v>
      </c>
      <c r="Q522" s="250">
        <v>0</v>
      </c>
      <c r="R522" s="252">
        <v>0</v>
      </c>
      <c r="S522" s="15"/>
      <c r="T522" s="15"/>
      <c r="U522" s="15"/>
      <c r="V522" s="15"/>
    </row>
    <row r="523" spans="1:22">
      <c r="A523" s="253"/>
      <c r="B523" s="254" t="s">
        <v>104</v>
      </c>
      <c r="C523" s="255">
        <v>0</v>
      </c>
      <c r="D523" s="256">
        <v>0</v>
      </c>
      <c r="E523" s="256">
        <v>0</v>
      </c>
      <c r="F523" s="256">
        <v>0</v>
      </c>
      <c r="G523" s="256">
        <v>0</v>
      </c>
      <c r="H523" s="256">
        <v>0</v>
      </c>
      <c r="I523" s="256">
        <v>0</v>
      </c>
      <c r="J523" s="257">
        <v>0</v>
      </c>
      <c r="K523" s="255">
        <v>0</v>
      </c>
      <c r="L523" s="256">
        <v>0</v>
      </c>
      <c r="M523" s="256">
        <v>0</v>
      </c>
      <c r="N523" s="256">
        <v>0</v>
      </c>
      <c r="O523" s="255">
        <v>0</v>
      </c>
      <c r="P523" s="255">
        <v>0</v>
      </c>
      <c r="Q523" s="256">
        <v>0</v>
      </c>
      <c r="R523" s="258">
        <v>0</v>
      </c>
      <c r="S523" s="15"/>
      <c r="T523" s="15"/>
      <c r="U523" s="15"/>
      <c r="V523" s="15"/>
    </row>
    <row r="524" spans="1:22">
      <c r="A524" s="253"/>
      <c r="B524" s="317" t="s">
        <v>105</v>
      </c>
      <c r="C524" s="318">
        <v>0</v>
      </c>
      <c r="D524" s="319">
        <v>0</v>
      </c>
      <c r="E524" s="319">
        <v>0</v>
      </c>
      <c r="F524" s="319">
        <v>0</v>
      </c>
      <c r="G524" s="319">
        <v>0</v>
      </c>
      <c r="H524" s="319">
        <v>0</v>
      </c>
      <c r="I524" s="319">
        <v>0</v>
      </c>
      <c r="J524" s="320">
        <v>0</v>
      </c>
      <c r="K524" s="318">
        <v>0</v>
      </c>
      <c r="L524" s="319">
        <v>0</v>
      </c>
      <c r="M524" s="319">
        <v>0</v>
      </c>
      <c r="N524" s="319">
        <v>0</v>
      </c>
      <c r="O524" s="318">
        <v>0</v>
      </c>
      <c r="P524" s="321">
        <v>0</v>
      </c>
      <c r="Q524" s="319">
        <v>0</v>
      </c>
      <c r="R524" s="322">
        <v>0</v>
      </c>
      <c r="S524" s="15"/>
      <c r="T524" s="15"/>
      <c r="U524" s="15"/>
      <c r="V524" s="15"/>
    </row>
    <row r="525" spans="1:22">
      <c r="A525" s="253"/>
      <c r="B525" s="234" t="s">
        <v>106</v>
      </c>
      <c r="C525" s="249">
        <v>0</v>
      </c>
      <c r="D525" s="250">
        <v>0</v>
      </c>
      <c r="E525" s="250">
        <v>0</v>
      </c>
      <c r="F525" s="250">
        <v>0</v>
      </c>
      <c r="G525" s="250">
        <v>0</v>
      </c>
      <c r="H525" s="250">
        <v>0</v>
      </c>
      <c r="I525" s="250">
        <v>0</v>
      </c>
      <c r="J525" s="251">
        <v>0</v>
      </c>
      <c r="K525" s="249">
        <v>0</v>
      </c>
      <c r="L525" s="250">
        <v>0</v>
      </c>
      <c r="M525" s="250">
        <v>0</v>
      </c>
      <c r="N525" s="250">
        <v>0</v>
      </c>
      <c r="O525" s="249">
        <v>0</v>
      </c>
      <c r="P525" s="249">
        <v>0</v>
      </c>
      <c r="Q525" s="250">
        <v>0</v>
      </c>
      <c r="R525" s="252">
        <v>0</v>
      </c>
      <c r="S525" s="15"/>
      <c r="T525" s="15"/>
      <c r="U525" s="15"/>
      <c r="V525" s="15"/>
    </row>
    <row r="526" spans="1:22">
      <c r="A526" s="253"/>
      <c r="B526" s="254" t="s">
        <v>107</v>
      </c>
      <c r="C526" s="255">
        <v>0</v>
      </c>
      <c r="D526" s="256">
        <v>0</v>
      </c>
      <c r="E526" s="256">
        <v>0</v>
      </c>
      <c r="F526" s="256">
        <v>0</v>
      </c>
      <c r="G526" s="256">
        <v>0</v>
      </c>
      <c r="H526" s="256">
        <v>0</v>
      </c>
      <c r="I526" s="256">
        <v>0</v>
      </c>
      <c r="J526" s="257">
        <v>0</v>
      </c>
      <c r="K526" s="255">
        <v>0</v>
      </c>
      <c r="L526" s="256">
        <v>0</v>
      </c>
      <c r="M526" s="256">
        <v>0</v>
      </c>
      <c r="N526" s="256">
        <v>0</v>
      </c>
      <c r="O526" s="255">
        <v>0</v>
      </c>
      <c r="P526" s="255">
        <v>0</v>
      </c>
      <c r="Q526" s="256">
        <v>0</v>
      </c>
      <c r="R526" s="258">
        <v>0</v>
      </c>
      <c r="S526" s="15"/>
      <c r="T526" s="15"/>
      <c r="U526" s="15"/>
      <c r="V526" s="15"/>
    </row>
    <row r="527" spans="1:22">
      <c r="A527" s="253"/>
      <c r="B527" s="317" t="s">
        <v>108</v>
      </c>
      <c r="C527" s="318">
        <v>0</v>
      </c>
      <c r="D527" s="319">
        <v>0</v>
      </c>
      <c r="E527" s="319">
        <v>0</v>
      </c>
      <c r="F527" s="319">
        <v>0</v>
      </c>
      <c r="G527" s="319">
        <v>0</v>
      </c>
      <c r="H527" s="319">
        <v>0</v>
      </c>
      <c r="I527" s="319">
        <v>0</v>
      </c>
      <c r="J527" s="320">
        <v>0</v>
      </c>
      <c r="K527" s="318">
        <v>0</v>
      </c>
      <c r="L527" s="319">
        <v>0</v>
      </c>
      <c r="M527" s="319">
        <v>0</v>
      </c>
      <c r="N527" s="319">
        <v>0</v>
      </c>
      <c r="O527" s="318">
        <v>0</v>
      </c>
      <c r="P527" s="321">
        <v>0</v>
      </c>
      <c r="Q527" s="319">
        <v>0</v>
      </c>
      <c r="R527" s="322">
        <v>0</v>
      </c>
      <c r="S527" s="15"/>
      <c r="T527" s="15"/>
      <c r="U527" s="15"/>
      <c r="V527" s="15"/>
    </row>
    <row r="528" spans="1:22">
      <c r="A528" s="253"/>
      <c r="B528" s="234" t="s">
        <v>109</v>
      </c>
      <c r="C528" s="249">
        <v>0.7947518350247722</v>
      </c>
      <c r="D528" s="250">
        <v>0.85800830847519294</v>
      </c>
      <c r="E528" s="250">
        <v>0.84373417860837796</v>
      </c>
      <c r="F528" s="250">
        <v>0.72484218343854434</v>
      </c>
      <c r="G528" s="250">
        <v>0.88170116772823781</v>
      </c>
      <c r="H528" s="250">
        <v>0</v>
      </c>
      <c r="I528" s="250">
        <v>0</v>
      </c>
      <c r="J528" s="251">
        <v>0.80994490923504681</v>
      </c>
      <c r="K528" s="249">
        <v>0</v>
      </c>
      <c r="L528" s="250">
        <v>0</v>
      </c>
      <c r="M528" s="250">
        <v>0</v>
      </c>
      <c r="N528" s="250">
        <v>0</v>
      </c>
      <c r="O528" s="249">
        <v>0</v>
      </c>
      <c r="P528" s="249">
        <v>0</v>
      </c>
      <c r="Q528" s="250">
        <v>0</v>
      </c>
      <c r="R528" s="252">
        <v>0</v>
      </c>
      <c r="S528" s="15"/>
      <c r="T528" s="15"/>
      <c r="U528" s="15"/>
      <c r="V528" s="15"/>
    </row>
    <row r="529" spans="1:22">
      <c r="A529" s="253"/>
      <c r="B529" s="254" t="s">
        <v>110</v>
      </c>
      <c r="C529" s="255">
        <v>0.78754541725876548</v>
      </c>
      <c r="D529" s="256">
        <v>0.85710413880742409</v>
      </c>
      <c r="E529" s="256">
        <v>0.79134047305901756</v>
      </c>
      <c r="F529" s="256">
        <v>0.79855420276281897</v>
      </c>
      <c r="G529" s="256">
        <v>0.69693328756150585</v>
      </c>
      <c r="H529" s="256">
        <v>0</v>
      </c>
      <c r="I529" s="256">
        <v>0</v>
      </c>
      <c r="J529" s="257">
        <v>0.80154218385342302</v>
      </c>
      <c r="K529" s="255">
        <v>0</v>
      </c>
      <c r="L529" s="256">
        <v>0</v>
      </c>
      <c r="M529" s="256">
        <v>0</v>
      </c>
      <c r="N529" s="256">
        <v>0</v>
      </c>
      <c r="O529" s="255">
        <v>0</v>
      </c>
      <c r="P529" s="255">
        <v>0</v>
      </c>
      <c r="Q529" s="256">
        <v>0</v>
      </c>
      <c r="R529" s="258">
        <v>0</v>
      </c>
      <c r="S529" s="15"/>
      <c r="T529" s="15"/>
      <c r="U529" s="15"/>
      <c r="V529" s="15"/>
    </row>
    <row r="530" spans="1:22">
      <c r="A530" s="253"/>
      <c r="B530" s="317" t="s">
        <v>111</v>
      </c>
      <c r="C530" s="318">
        <v>-0.7206417766006723</v>
      </c>
      <c r="D530" s="319">
        <v>-9.0416966776885044E-2</v>
      </c>
      <c r="E530" s="319">
        <v>-5.2393705549360403</v>
      </c>
      <c r="F530" s="331">
        <v>7.3712019324274625</v>
      </c>
      <c r="G530" s="331">
        <v>-18.476788016673197</v>
      </c>
      <c r="H530" s="319">
        <v>0</v>
      </c>
      <c r="I530" s="319">
        <v>0</v>
      </c>
      <c r="J530" s="320">
        <v>-0.84027253816237879</v>
      </c>
      <c r="K530" s="318">
        <v>0</v>
      </c>
      <c r="L530" s="319">
        <v>0</v>
      </c>
      <c r="M530" s="319">
        <v>0</v>
      </c>
      <c r="N530" s="319">
        <v>0</v>
      </c>
      <c r="O530" s="318">
        <v>0</v>
      </c>
      <c r="P530" s="321">
        <v>0</v>
      </c>
      <c r="Q530" s="319">
        <v>0</v>
      </c>
      <c r="R530" s="322">
        <v>0</v>
      </c>
      <c r="S530" s="15"/>
      <c r="T530" s="15"/>
      <c r="U530" s="15"/>
      <c r="V530" s="15"/>
    </row>
    <row r="531" spans="1:22">
      <c r="A531" s="253"/>
      <c r="B531" s="234" t="s">
        <v>112</v>
      </c>
      <c r="C531" s="249">
        <v>0.11207394181734827</v>
      </c>
      <c r="D531" s="250">
        <v>0.10186978072503533</v>
      </c>
      <c r="E531" s="250">
        <v>6.4055999471703096E-2</v>
      </c>
      <c r="F531" s="250">
        <v>0.21155376372606227</v>
      </c>
      <c r="G531" s="250">
        <v>6.369426751592357E-3</v>
      </c>
      <c r="H531" s="250">
        <v>0</v>
      </c>
      <c r="I531" s="250">
        <v>0</v>
      </c>
      <c r="J531" s="251">
        <v>0.10975854586492874</v>
      </c>
      <c r="K531" s="249">
        <v>0</v>
      </c>
      <c r="L531" s="250">
        <v>0</v>
      </c>
      <c r="M531" s="250">
        <v>0</v>
      </c>
      <c r="N531" s="250">
        <v>0</v>
      </c>
      <c r="O531" s="249">
        <v>0</v>
      </c>
      <c r="P531" s="249">
        <v>0</v>
      </c>
      <c r="Q531" s="250">
        <v>0</v>
      </c>
      <c r="R531" s="252">
        <v>0</v>
      </c>
      <c r="S531" s="15"/>
      <c r="T531" s="15"/>
      <c r="U531" s="15"/>
      <c r="V531" s="15"/>
    </row>
    <row r="532" spans="1:22">
      <c r="A532" s="253"/>
      <c r="B532" s="254" t="s">
        <v>113</v>
      </c>
      <c r="C532" s="255">
        <v>0.12527913229731577</v>
      </c>
      <c r="D532" s="256">
        <v>9.2418109807390889E-2</v>
      </c>
      <c r="E532" s="256">
        <v>8.7680841736080664E-2</v>
      </c>
      <c r="F532" s="256">
        <v>0.15072582533364551</v>
      </c>
      <c r="G532" s="256">
        <v>0.10973795628790479</v>
      </c>
      <c r="H532" s="256">
        <v>0</v>
      </c>
      <c r="I532" s="256">
        <v>0</v>
      </c>
      <c r="J532" s="257">
        <v>0.11678840240347857</v>
      </c>
      <c r="K532" s="255">
        <v>0</v>
      </c>
      <c r="L532" s="256">
        <v>0</v>
      </c>
      <c r="M532" s="256">
        <v>0</v>
      </c>
      <c r="N532" s="256">
        <v>0</v>
      </c>
      <c r="O532" s="255">
        <v>0</v>
      </c>
      <c r="P532" s="255">
        <v>0</v>
      </c>
      <c r="Q532" s="256">
        <v>0</v>
      </c>
      <c r="R532" s="258">
        <v>0</v>
      </c>
      <c r="S532" s="15"/>
      <c r="T532" s="15"/>
      <c r="U532" s="15"/>
      <c r="V532" s="15"/>
    </row>
    <row r="533" spans="1:22">
      <c r="A533" s="253"/>
      <c r="B533" s="317" t="s">
        <v>114</v>
      </c>
      <c r="C533" s="318">
        <v>1.3205190479967501</v>
      </c>
      <c r="D533" s="319">
        <v>-0.94516709176444413</v>
      </c>
      <c r="E533" s="319">
        <v>2.3624842264377568</v>
      </c>
      <c r="F533" s="331">
        <v>-6.0827938392416767</v>
      </c>
      <c r="G533" s="331">
        <v>10.336852953631244</v>
      </c>
      <c r="H533" s="319">
        <v>0</v>
      </c>
      <c r="I533" s="319">
        <v>0</v>
      </c>
      <c r="J533" s="320">
        <v>0.70298565385498302</v>
      </c>
      <c r="K533" s="318">
        <v>0</v>
      </c>
      <c r="L533" s="319">
        <v>0</v>
      </c>
      <c r="M533" s="319">
        <v>0</v>
      </c>
      <c r="N533" s="319">
        <v>0</v>
      </c>
      <c r="O533" s="318">
        <v>0</v>
      </c>
      <c r="P533" s="321">
        <v>0</v>
      </c>
      <c r="Q533" s="319">
        <v>0</v>
      </c>
      <c r="R533" s="322">
        <v>0</v>
      </c>
      <c r="S533" s="15"/>
      <c r="T533" s="15"/>
      <c r="U533" s="15"/>
      <c r="V533" s="15"/>
    </row>
    <row r="534" spans="1:22">
      <c r="A534" s="253"/>
      <c r="B534" s="234" t="s">
        <v>115</v>
      </c>
      <c r="C534" s="249">
        <v>6.1789672229301228E-2</v>
      </c>
      <c r="D534" s="250">
        <v>4.0121910799771732E-2</v>
      </c>
      <c r="E534" s="250">
        <v>9.1989698210394238E-2</v>
      </c>
      <c r="F534" s="250">
        <v>3.9175640549572968E-2</v>
      </c>
      <c r="G534" s="250">
        <v>0.11192940552016985</v>
      </c>
      <c r="H534" s="250">
        <v>0</v>
      </c>
      <c r="I534" s="250">
        <v>0</v>
      </c>
      <c r="J534" s="251">
        <v>5.8355365615153518E-2</v>
      </c>
      <c r="K534" s="249">
        <v>0</v>
      </c>
      <c r="L534" s="250">
        <v>0</v>
      </c>
      <c r="M534" s="250">
        <v>0</v>
      </c>
      <c r="N534" s="250">
        <v>0</v>
      </c>
      <c r="O534" s="249">
        <v>0</v>
      </c>
      <c r="P534" s="249">
        <v>0</v>
      </c>
      <c r="Q534" s="250">
        <v>0</v>
      </c>
      <c r="R534" s="252">
        <v>0</v>
      </c>
      <c r="S534" s="15"/>
      <c r="T534" s="15"/>
      <c r="U534" s="15"/>
      <c r="V534" s="15"/>
    </row>
    <row r="535" spans="1:22">
      <c r="A535" s="253"/>
      <c r="B535" s="254" t="s">
        <v>116</v>
      </c>
      <c r="C535" s="255">
        <v>5.4436080257526734E-2</v>
      </c>
      <c r="D535" s="256">
        <v>5.0477751385184975E-2</v>
      </c>
      <c r="E535" s="256">
        <v>8.2232103713909946E-2</v>
      </c>
      <c r="F535" s="256">
        <v>1.1267852961835636E-2</v>
      </c>
      <c r="G535" s="256">
        <v>0.19332875615058931</v>
      </c>
      <c r="H535" s="256">
        <v>0</v>
      </c>
      <c r="I535" s="256">
        <v>0</v>
      </c>
      <c r="J535" s="257">
        <v>5.6116594752991272E-2</v>
      </c>
      <c r="K535" s="255">
        <v>0</v>
      </c>
      <c r="L535" s="256">
        <v>0</v>
      </c>
      <c r="M535" s="256">
        <v>0</v>
      </c>
      <c r="N535" s="256">
        <v>0</v>
      </c>
      <c r="O535" s="255">
        <v>0</v>
      </c>
      <c r="P535" s="255">
        <v>0</v>
      </c>
      <c r="Q535" s="256">
        <v>0</v>
      </c>
      <c r="R535" s="258">
        <v>0</v>
      </c>
      <c r="S535" s="15"/>
      <c r="T535" s="15"/>
      <c r="U535" s="15"/>
      <c r="V535" s="15"/>
    </row>
    <row r="536" spans="1:22">
      <c r="A536" s="253"/>
      <c r="B536" s="317" t="s">
        <v>117</v>
      </c>
      <c r="C536" s="318">
        <v>-0.73535919717744935</v>
      </c>
      <c r="D536" s="319">
        <v>1.0355840585413243</v>
      </c>
      <c r="E536" s="319">
        <v>-0.9757594496484292</v>
      </c>
      <c r="F536" s="319">
        <v>-2.7907787587737336</v>
      </c>
      <c r="G536" s="331">
        <v>8.1399350630419463</v>
      </c>
      <c r="H536" s="319">
        <v>0</v>
      </c>
      <c r="I536" s="319">
        <v>0</v>
      </c>
      <c r="J536" s="320">
        <v>-0.22387708621622454</v>
      </c>
      <c r="K536" s="318">
        <v>0</v>
      </c>
      <c r="L536" s="319">
        <v>0</v>
      </c>
      <c r="M536" s="319">
        <v>0</v>
      </c>
      <c r="N536" s="319">
        <v>0</v>
      </c>
      <c r="O536" s="318">
        <v>0</v>
      </c>
      <c r="P536" s="321">
        <v>0</v>
      </c>
      <c r="Q536" s="319">
        <v>0</v>
      </c>
      <c r="R536" s="322">
        <v>0</v>
      </c>
      <c r="S536" s="15"/>
      <c r="T536" s="15"/>
      <c r="U536" s="15"/>
      <c r="V536" s="15"/>
    </row>
    <row r="537" spans="1:22">
      <c r="A537" s="253"/>
      <c r="B537" s="234" t="s">
        <v>118</v>
      </c>
      <c r="C537" s="249">
        <v>3.1384550928578288E-2</v>
      </c>
      <c r="D537" s="250">
        <v>0</v>
      </c>
      <c r="E537" s="250">
        <v>2.2012370952475291E-4</v>
      </c>
      <c r="F537" s="250">
        <v>2.4428412285820381E-2</v>
      </c>
      <c r="G537" s="250">
        <v>0</v>
      </c>
      <c r="H537" s="250">
        <v>0</v>
      </c>
      <c r="I537" s="250">
        <v>0</v>
      </c>
      <c r="J537" s="251">
        <v>2.1941179284870861E-2</v>
      </c>
      <c r="K537" s="249">
        <v>0</v>
      </c>
      <c r="L537" s="250">
        <v>0</v>
      </c>
      <c r="M537" s="250">
        <v>0</v>
      </c>
      <c r="N537" s="250">
        <v>0</v>
      </c>
      <c r="O537" s="249">
        <v>0</v>
      </c>
      <c r="P537" s="249">
        <v>0</v>
      </c>
      <c r="Q537" s="250">
        <v>0</v>
      </c>
      <c r="R537" s="252">
        <v>0</v>
      </c>
      <c r="S537" s="15"/>
      <c r="T537" s="15"/>
      <c r="U537" s="15"/>
      <c r="V537" s="15"/>
    </row>
    <row r="538" spans="1:22">
      <c r="A538" s="253"/>
      <c r="B538" s="254" t="s">
        <v>119</v>
      </c>
      <c r="C538" s="255">
        <v>3.2739370186392017E-2</v>
      </c>
      <c r="D538" s="256">
        <v>0</v>
      </c>
      <c r="E538" s="256">
        <v>3.874658149099184E-2</v>
      </c>
      <c r="F538" s="256">
        <v>3.9452118941699837E-2</v>
      </c>
      <c r="G538" s="256">
        <v>0</v>
      </c>
      <c r="H538" s="256">
        <v>0</v>
      </c>
      <c r="I538" s="256">
        <v>0</v>
      </c>
      <c r="J538" s="257">
        <v>2.5552818990107185E-2</v>
      </c>
      <c r="K538" s="255">
        <v>0</v>
      </c>
      <c r="L538" s="256">
        <v>0</v>
      </c>
      <c r="M538" s="256">
        <v>0</v>
      </c>
      <c r="N538" s="256">
        <v>0</v>
      </c>
      <c r="O538" s="255">
        <v>0</v>
      </c>
      <c r="P538" s="255">
        <v>0</v>
      </c>
      <c r="Q538" s="256">
        <v>0</v>
      </c>
      <c r="R538" s="258">
        <v>0</v>
      </c>
      <c r="S538" s="15"/>
      <c r="T538" s="15"/>
      <c r="U538" s="15"/>
      <c r="V538" s="15"/>
    </row>
    <row r="539" spans="1:22">
      <c r="A539" s="253"/>
      <c r="B539" s="317" t="s">
        <v>120</v>
      </c>
      <c r="C539" s="318">
        <v>0.13548192578137289</v>
      </c>
      <c r="D539" s="319">
        <v>0</v>
      </c>
      <c r="E539" s="319">
        <v>3.8526457781467087</v>
      </c>
      <c r="F539" s="319">
        <v>1.5023706655879456</v>
      </c>
      <c r="G539" s="319">
        <v>0</v>
      </c>
      <c r="H539" s="319">
        <v>0</v>
      </c>
      <c r="I539" s="319">
        <v>0</v>
      </c>
      <c r="J539" s="320">
        <v>0.36116397052363242</v>
      </c>
      <c r="K539" s="318">
        <v>0</v>
      </c>
      <c r="L539" s="319">
        <v>0</v>
      </c>
      <c r="M539" s="319">
        <v>0</v>
      </c>
      <c r="N539" s="319">
        <v>0</v>
      </c>
      <c r="O539" s="318">
        <v>0</v>
      </c>
      <c r="P539" s="321">
        <v>0</v>
      </c>
      <c r="Q539" s="319">
        <v>0</v>
      </c>
      <c r="R539" s="322">
        <v>0</v>
      </c>
      <c r="S539" s="15"/>
      <c r="T539" s="15"/>
      <c r="U539" s="15"/>
      <c r="V539" s="15"/>
    </row>
    <row r="540" spans="1:22">
      <c r="A540" s="253"/>
      <c r="B540" s="234" t="s">
        <v>121</v>
      </c>
      <c r="C540" s="249">
        <v>0</v>
      </c>
      <c r="D540" s="250">
        <v>0</v>
      </c>
      <c r="E540" s="250">
        <v>0</v>
      </c>
      <c r="F540" s="250">
        <v>0</v>
      </c>
      <c r="G540" s="250">
        <v>0</v>
      </c>
      <c r="H540" s="250">
        <v>0</v>
      </c>
      <c r="I540" s="250">
        <v>0</v>
      </c>
      <c r="J540" s="251">
        <v>0</v>
      </c>
      <c r="K540" s="249">
        <v>0</v>
      </c>
      <c r="L540" s="250">
        <v>0</v>
      </c>
      <c r="M540" s="250">
        <v>0</v>
      </c>
      <c r="N540" s="250">
        <v>0</v>
      </c>
      <c r="O540" s="249">
        <v>0</v>
      </c>
      <c r="P540" s="249">
        <v>0</v>
      </c>
      <c r="Q540" s="250">
        <v>0</v>
      </c>
      <c r="R540" s="252">
        <v>0</v>
      </c>
      <c r="S540" s="15"/>
      <c r="T540" s="15"/>
      <c r="U540" s="15"/>
      <c r="V540" s="15"/>
    </row>
    <row r="541" spans="1:22">
      <c r="A541" s="253"/>
      <c r="B541" s="254" t="s">
        <v>122</v>
      </c>
      <c r="C541" s="255">
        <v>0</v>
      </c>
      <c r="D541" s="256">
        <v>0</v>
      </c>
      <c r="E541" s="256">
        <v>0</v>
      </c>
      <c r="F541" s="256">
        <v>0</v>
      </c>
      <c r="G541" s="256">
        <v>0</v>
      </c>
      <c r="H541" s="256">
        <v>0</v>
      </c>
      <c r="I541" s="256">
        <v>0</v>
      </c>
      <c r="J541" s="257">
        <v>0</v>
      </c>
      <c r="K541" s="255">
        <v>0</v>
      </c>
      <c r="L541" s="256">
        <v>0</v>
      </c>
      <c r="M541" s="256">
        <v>0</v>
      </c>
      <c r="N541" s="256">
        <v>0</v>
      </c>
      <c r="O541" s="255">
        <v>0</v>
      </c>
      <c r="P541" s="255">
        <v>0</v>
      </c>
      <c r="Q541" s="256">
        <v>0</v>
      </c>
      <c r="R541" s="258">
        <v>0</v>
      </c>
      <c r="S541" s="15"/>
      <c r="T541" s="15"/>
      <c r="U541" s="15"/>
      <c r="V541" s="15"/>
    </row>
    <row r="542" spans="1:22">
      <c r="A542" s="253"/>
      <c r="B542" s="317" t="s">
        <v>123</v>
      </c>
      <c r="C542" s="318">
        <v>0</v>
      </c>
      <c r="D542" s="319">
        <v>0</v>
      </c>
      <c r="E542" s="319">
        <v>0</v>
      </c>
      <c r="F542" s="319">
        <v>0</v>
      </c>
      <c r="G542" s="319">
        <v>0</v>
      </c>
      <c r="H542" s="319">
        <v>0</v>
      </c>
      <c r="I542" s="319">
        <v>0</v>
      </c>
      <c r="J542" s="320">
        <v>0</v>
      </c>
      <c r="K542" s="318">
        <v>0</v>
      </c>
      <c r="L542" s="319">
        <v>0</v>
      </c>
      <c r="M542" s="319">
        <v>0</v>
      </c>
      <c r="N542" s="319">
        <v>0</v>
      </c>
      <c r="O542" s="318">
        <v>0</v>
      </c>
      <c r="P542" s="321">
        <v>0</v>
      </c>
      <c r="Q542" s="319">
        <v>0</v>
      </c>
      <c r="R542" s="322">
        <v>0</v>
      </c>
      <c r="S542" s="15"/>
      <c r="T542" s="15"/>
      <c r="U542" s="15"/>
      <c r="V542" s="15"/>
    </row>
    <row r="543" spans="1:22">
      <c r="A543" s="253"/>
      <c r="B543" s="234" t="s">
        <v>124</v>
      </c>
      <c r="C543" s="249">
        <v>0</v>
      </c>
      <c r="D543" s="250">
        <v>0</v>
      </c>
      <c r="E543" s="250">
        <v>0</v>
      </c>
      <c r="F543" s="250">
        <v>0</v>
      </c>
      <c r="G543" s="250">
        <v>0</v>
      </c>
      <c r="H543" s="250">
        <v>0</v>
      </c>
      <c r="I543" s="250">
        <v>0</v>
      </c>
      <c r="J543" s="251">
        <v>0</v>
      </c>
      <c r="K543" s="249">
        <v>0</v>
      </c>
      <c r="L543" s="250">
        <v>0</v>
      </c>
      <c r="M543" s="250">
        <v>0</v>
      </c>
      <c r="N543" s="250">
        <v>0</v>
      </c>
      <c r="O543" s="249">
        <v>0</v>
      </c>
      <c r="P543" s="249">
        <v>0</v>
      </c>
      <c r="Q543" s="250">
        <v>0</v>
      </c>
      <c r="R543" s="252">
        <v>0</v>
      </c>
      <c r="S543" s="15"/>
      <c r="T543" s="15"/>
      <c r="U543" s="15"/>
      <c r="V543" s="15"/>
    </row>
    <row r="544" spans="1:22">
      <c r="A544" s="253"/>
      <c r="B544" s="254" t="s">
        <v>125</v>
      </c>
      <c r="C544" s="255">
        <v>0</v>
      </c>
      <c r="D544" s="256">
        <v>0</v>
      </c>
      <c r="E544" s="256">
        <v>0</v>
      </c>
      <c r="F544" s="256">
        <v>0</v>
      </c>
      <c r="G544" s="256">
        <v>0</v>
      </c>
      <c r="H544" s="256">
        <v>0</v>
      </c>
      <c r="I544" s="256">
        <v>0</v>
      </c>
      <c r="J544" s="257">
        <v>0</v>
      </c>
      <c r="K544" s="255">
        <v>0</v>
      </c>
      <c r="L544" s="256">
        <v>0</v>
      </c>
      <c r="M544" s="256">
        <v>0</v>
      </c>
      <c r="N544" s="256">
        <v>0</v>
      </c>
      <c r="O544" s="255">
        <v>0</v>
      </c>
      <c r="P544" s="255">
        <v>0</v>
      </c>
      <c r="Q544" s="256">
        <v>0</v>
      </c>
      <c r="R544" s="258">
        <v>0</v>
      </c>
      <c r="S544" s="15"/>
      <c r="T544" s="15"/>
      <c r="U544" s="15"/>
      <c r="V544" s="15"/>
    </row>
    <row r="545" spans="1:22">
      <c r="A545" s="260"/>
      <c r="B545" s="317" t="s">
        <v>126</v>
      </c>
      <c r="C545" s="318">
        <v>0</v>
      </c>
      <c r="D545" s="319">
        <v>0</v>
      </c>
      <c r="E545" s="319">
        <v>0</v>
      </c>
      <c r="F545" s="319">
        <v>0</v>
      </c>
      <c r="G545" s="319">
        <v>0</v>
      </c>
      <c r="H545" s="319">
        <v>0</v>
      </c>
      <c r="I545" s="319">
        <v>0</v>
      </c>
      <c r="J545" s="320">
        <v>0</v>
      </c>
      <c r="K545" s="318">
        <v>0</v>
      </c>
      <c r="L545" s="319">
        <v>0</v>
      </c>
      <c r="M545" s="319">
        <v>0</v>
      </c>
      <c r="N545" s="319">
        <v>0</v>
      </c>
      <c r="O545" s="318">
        <v>0</v>
      </c>
      <c r="P545" s="321">
        <v>0</v>
      </c>
      <c r="Q545" s="319">
        <v>0</v>
      </c>
      <c r="R545" s="322">
        <v>0</v>
      </c>
      <c r="S545" s="15"/>
      <c r="T545" s="15"/>
      <c r="U545" s="15"/>
      <c r="V545" s="15"/>
    </row>
    <row r="546" spans="1:22">
      <c r="A546" s="248" t="s">
        <v>85</v>
      </c>
      <c r="B546" s="234" t="s">
        <v>91</v>
      </c>
      <c r="C546" s="249">
        <v>0.93283710603437409</v>
      </c>
      <c r="D546" s="250">
        <v>0</v>
      </c>
      <c r="E546" s="250">
        <v>0.81460380709334168</v>
      </c>
      <c r="F546" s="250">
        <v>0</v>
      </c>
      <c r="G546" s="250">
        <v>0.86707212257915334</v>
      </c>
      <c r="H546" s="250">
        <v>0.81962447266606919</v>
      </c>
      <c r="I546" s="250">
        <v>0</v>
      </c>
      <c r="J546" s="251">
        <v>0.87456651332354207</v>
      </c>
      <c r="K546" s="249">
        <v>0.68618274796216061</v>
      </c>
      <c r="L546" s="250">
        <v>0</v>
      </c>
      <c r="M546" s="250">
        <v>0.84232906373098893</v>
      </c>
      <c r="N546" s="250">
        <v>0.62783759821114904</v>
      </c>
      <c r="O546" s="249">
        <v>0.67087774707198311</v>
      </c>
      <c r="P546" s="249">
        <v>0</v>
      </c>
      <c r="Q546" s="250">
        <v>0</v>
      </c>
      <c r="R546" s="252">
        <v>0</v>
      </c>
      <c r="S546" s="15"/>
      <c r="T546" s="15"/>
      <c r="U546" s="15"/>
      <c r="V546" s="15"/>
    </row>
    <row r="547" spans="1:22">
      <c r="A547" s="253"/>
      <c r="B547" s="254" t="s">
        <v>92</v>
      </c>
      <c r="C547" s="255">
        <v>0.92581622542563347</v>
      </c>
      <c r="D547" s="256">
        <v>0</v>
      </c>
      <c r="E547" s="256">
        <v>0.79951260798505719</v>
      </c>
      <c r="F547" s="256">
        <v>0</v>
      </c>
      <c r="G547" s="256">
        <v>0.86723018423909992</v>
      </c>
      <c r="H547" s="256">
        <v>0.78865474965944793</v>
      </c>
      <c r="I547" s="256">
        <v>0</v>
      </c>
      <c r="J547" s="257">
        <v>0.86196622138866752</v>
      </c>
      <c r="K547" s="255">
        <v>0.66072991128522007</v>
      </c>
      <c r="L547" s="256">
        <v>0</v>
      </c>
      <c r="M547" s="256">
        <v>0.75706750760472186</v>
      </c>
      <c r="N547" s="256">
        <v>0.62090741439977237</v>
      </c>
      <c r="O547" s="255">
        <v>0.64766864147786452</v>
      </c>
      <c r="P547" s="255">
        <v>0</v>
      </c>
      <c r="Q547" s="256">
        <v>0</v>
      </c>
      <c r="R547" s="258">
        <v>0</v>
      </c>
      <c r="S547" s="15"/>
      <c r="T547" s="15"/>
      <c r="U547" s="15"/>
      <c r="V547" s="15"/>
    </row>
    <row r="548" spans="1:22">
      <c r="A548" s="253"/>
      <c r="B548" s="317" t="s">
        <v>93</v>
      </c>
      <c r="C548" s="318">
        <v>-0.70208806087406206</v>
      </c>
      <c r="D548" s="319">
        <v>0</v>
      </c>
      <c r="E548" s="319">
        <v>-1.5091199108284492</v>
      </c>
      <c r="F548" s="319">
        <v>0</v>
      </c>
      <c r="G548" s="319">
        <v>1.580616599465845E-2</v>
      </c>
      <c r="H548" s="319">
        <v>-3.0969723006621264</v>
      </c>
      <c r="I548" s="319">
        <v>0</v>
      </c>
      <c r="J548" s="320">
        <v>-1.2600291934874552</v>
      </c>
      <c r="K548" s="318">
        <v>-2.5452836676940538</v>
      </c>
      <c r="L548" s="319">
        <v>0</v>
      </c>
      <c r="M548" s="331">
        <v>-8.526155612626706</v>
      </c>
      <c r="N548" s="319">
        <v>-0.69301838113766667</v>
      </c>
      <c r="O548" s="318">
        <v>-2.3209105594118595</v>
      </c>
      <c r="P548" s="321">
        <v>0</v>
      </c>
      <c r="Q548" s="319">
        <v>0</v>
      </c>
      <c r="R548" s="322">
        <v>0</v>
      </c>
      <c r="S548" s="15"/>
      <c r="T548" s="15"/>
      <c r="U548" s="15"/>
      <c r="V548" s="15"/>
    </row>
    <row r="549" spans="1:22">
      <c r="A549" s="253"/>
      <c r="B549" s="234" t="s">
        <v>94</v>
      </c>
      <c r="C549" s="249">
        <v>1.8066527874730539E-3</v>
      </c>
      <c r="D549" s="250">
        <v>0</v>
      </c>
      <c r="E549" s="250">
        <v>5.5386417735592816E-2</v>
      </c>
      <c r="F549" s="250">
        <v>0</v>
      </c>
      <c r="G549" s="250">
        <v>6.4012006614108649E-2</v>
      </c>
      <c r="H549" s="250">
        <v>7.1039804148724559E-2</v>
      </c>
      <c r="I549" s="250">
        <v>0</v>
      </c>
      <c r="J549" s="251">
        <v>3.7455098741476442E-2</v>
      </c>
      <c r="K549" s="249">
        <v>0.1324378634230361</v>
      </c>
      <c r="L549" s="250">
        <v>0</v>
      </c>
      <c r="M549" s="250">
        <v>0</v>
      </c>
      <c r="N549" s="250">
        <v>0.1969269459608661</v>
      </c>
      <c r="O549" s="249">
        <v>0.15461535437848112</v>
      </c>
      <c r="P549" s="249">
        <v>0</v>
      </c>
      <c r="Q549" s="250">
        <v>0</v>
      </c>
      <c r="R549" s="252">
        <v>0</v>
      </c>
      <c r="S549" s="15"/>
      <c r="T549" s="15"/>
      <c r="U549" s="15"/>
      <c r="V549" s="15"/>
    </row>
    <row r="550" spans="1:22">
      <c r="A550" s="253"/>
      <c r="B550" s="254" t="s">
        <v>95</v>
      </c>
      <c r="C550" s="255">
        <v>2.3154581374835365E-3</v>
      </c>
      <c r="D550" s="256">
        <v>0</v>
      </c>
      <c r="E550" s="256">
        <v>5.8727819285547517E-2</v>
      </c>
      <c r="F550" s="256">
        <v>0</v>
      </c>
      <c r="G550" s="256">
        <v>6.425657641445362E-2</v>
      </c>
      <c r="H550" s="256">
        <v>7.6025131355814402E-2</v>
      </c>
      <c r="I550" s="256">
        <v>0</v>
      </c>
      <c r="J550" s="257">
        <v>3.9181146005300378E-2</v>
      </c>
      <c r="K550" s="255">
        <v>0.12799025349003137</v>
      </c>
      <c r="L550" s="256">
        <v>0</v>
      </c>
      <c r="M550" s="256">
        <v>0</v>
      </c>
      <c r="N550" s="256">
        <v>0.19266002331193668</v>
      </c>
      <c r="O550" s="255">
        <v>0.15268306841269572</v>
      </c>
      <c r="P550" s="255">
        <v>0</v>
      </c>
      <c r="Q550" s="256">
        <v>0</v>
      </c>
      <c r="R550" s="258">
        <v>0</v>
      </c>
      <c r="S550" s="15"/>
      <c r="T550" s="15"/>
      <c r="U550" s="15"/>
      <c r="V550" s="15"/>
    </row>
    <row r="551" spans="1:22">
      <c r="A551" s="253"/>
      <c r="B551" s="317" t="s">
        <v>96</v>
      </c>
      <c r="C551" s="318">
        <v>5.0880535001048263E-2</v>
      </c>
      <c r="D551" s="319">
        <v>0</v>
      </c>
      <c r="E551" s="319">
        <v>0.33414015499547006</v>
      </c>
      <c r="F551" s="319">
        <v>0</v>
      </c>
      <c r="G551" s="319">
        <v>2.4456980034497089E-2</v>
      </c>
      <c r="H551" s="319">
        <v>0.4985327207089843</v>
      </c>
      <c r="I551" s="319">
        <v>0</v>
      </c>
      <c r="J551" s="320">
        <v>0.17260472638239363</v>
      </c>
      <c r="K551" s="318">
        <v>-0.44476099330047203</v>
      </c>
      <c r="L551" s="319">
        <v>0</v>
      </c>
      <c r="M551" s="319">
        <v>0</v>
      </c>
      <c r="N551" s="319">
        <v>-0.42669226489294165</v>
      </c>
      <c r="O551" s="318">
        <v>-0.19322859657854019</v>
      </c>
      <c r="P551" s="321">
        <v>0</v>
      </c>
      <c r="Q551" s="319">
        <v>0</v>
      </c>
      <c r="R551" s="322">
        <v>0</v>
      </c>
      <c r="S551" s="15"/>
      <c r="T551" s="15"/>
      <c r="U551" s="15"/>
      <c r="V551" s="15"/>
    </row>
    <row r="552" spans="1:22">
      <c r="A552" s="253"/>
      <c r="B552" s="234" t="s">
        <v>97</v>
      </c>
      <c r="C552" s="249">
        <v>6.1352391085744508E-2</v>
      </c>
      <c r="D552" s="250">
        <v>0</v>
      </c>
      <c r="E552" s="250">
        <v>0.12909195376567945</v>
      </c>
      <c r="F552" s="250">
        <v>0</v>
      </c>
      <c r="G552" s="250">
        <v>6.8915870806738014E-2</v>
      </c>
      <c r="H552" s="250">
        <v>0.10028634505672256</v>
      </c>
      <c r="I552" s="250">
        <v>0</v>
      </c>
      <c r="J552" s="251">
        <v>8.390729645038085E-2</v>
      </c>
      <c r="K552" s="249">
        <v>0.17318129927699261</v>
      </c>
      <c r="L552" s="250">
        <v>0</v>
      </c>
      <c r="M552" s="250">
        <v>0.12481412881851146</v>
      </c>
      <c r="N552" s="250">
        <v>0.15312574930436673</v>
      </c>
      <c r="O552" s="249">
        <v>0.15455041076833417</v>
      </c>
      <c r="P552" s="249">
        <v>0</v>
      </c>
      <c r="Q552" s="250">
        <v>0</v>
      </c>
      <c r="R552" s="252">
        <v>0</v>
      </c>
      <c r="S552" s="15"/>
      <c r="T552" s="15"/>
      <c r="U552" s="15"/>
      <c r="V552" s="15"/>
    </row>
    <row r="553" spans="1:22">
      <c r="A553" s="253"/>
      <c r="B553" s="254" t="s">
        <v>98</v>
      </c>
      <c r="C553" s="255">
        <v>6.7847605698473881E-2</v>
      </c>
      <c r="D553" s="256">
        <v>0</v>
      </c>
      <c r="E553" s="256">
        <v>0.13763717020779828</v>
      </c>
      <c r="F553" s="256">
        <v>0</v>
      </c>
      <c r="G553" s="256">
        <v>6.8513239346446514E-2</v>
      </c>
      <c r="H553" s="256">
        <v>0.1233299046454088</v>
      </c>
      <c r="I553" s="256">
        <v>0</v>
      </c>
      <c r="J553" s="257">
        <v>9.3545051572923407E-2</v>
      </c>
      <c r="K553" s="255">
        <v>0.20351897473176905</v>
      </c>
      <c r="L553" s="256">
        <v>0</v>
      </c>
      <c r="M553" s="256">
        <v>0.2155275863031284</v>
      </c>
      <c r="N553" s="256">
        <v>0.16693207251872891</v>
      </c>
      <c r="O553" s="255">
        <v>0.18215840603711733</v>
      </c>
      <c r="P553" s="255">
        <v>0</v>
      </c>
      <c r="Q553" s="256">
        <v>0</v>
      </c>
      <c r="R553" s="258">
        <v>0</v>
      </c>
      <c r="S553" s="15"/>
      <c r="T553" s="15"/>
      <c r="U553" s="15"/>
      <c r="V553" s="15"/>
    </row>
    <row r="554" spans="1:22">
      <c r="A554" s="253"/>
      <c r="B554" s="317" t="s">
        <v>99</v>
      </c>
      <c r="C554" s="318">
        <v>0.64952146127293731</v>
      </c>
      <c r="D554" s="319">
        <v>0</v>
      </c>
      <c r="E554" s="319">
        <v>0.85452164421188359</v>
      </c>
      <c r="F554" s="319">
        <v>0</v>
      </c>
      <c r="G554" s="319">
        <v>-4.0263146029149988E-2</v>
      </c>
      <c r="H554" s="319">
        <v>2.3043559588686242</v>
      </c>
      <c r="I554" s="319">
        <v>0</v>
      </c>
      <c r="J554" s="320">
        <v>0.96377551225425573</v>
      </c>
      <c r="K554" s="318">
        <v>3.0337675454776445</v>
      </c>
      <c r="L554" s="319">
        <v>0</v>
      </c>
      <c r="M554" s="331">
        <v>9.0713457484616935</v>
      </c>
      <c r="N554" s="319">
        <v>1.3806323214362175</v>
      </c>
      <c r="O554" s="318">
        <v>2.7607995268783156</v>
      </c>
      <c r="P554" s="321">
        <v>0</v>
      </c>
      <c r="Q554" s="319">
        <v>0</v>
      </c>
      <c r="R554" s="322">
        <v>0</v>
      </c>
      <c r="S554" s="15"/>
      <c r="T554" s="15"/>
      <c r="U554" s="15"/>
      <c r="V554" s="15"/>
    </row>
    <row r="555" spans="1:22">
      <c r="A555" s="253"/>
      <c r="B555" s="234" t="s">
        <v>100</v>
      </c>
      <c r="C555" s="249">
        <v>0</v>
      </c>
      <c r="D555" s="250">
        <v>0</v>
      </c>
      <c r="E555" s="250">
        <v>9.1782140538604459E-4</v>
      </c>
      <c r="F555" s="250">
        <v>0</v>
      </c>
      <c r="G555" s="250">
        <v>0</v>
      </c>
      <c r="H555" s="250">
        <v>8.3444446873155702E-3</v>
      </c>
      <c r="I555" s="250">
        <v>0</v>
      </c>
      <c r="J555" s="251">
        <v>2.1802339985689738E-3</v>
      </c>
      <c r="K555" s="249">
        <v>0</v>
      </c>
      <c r="L555" s="250">
        <v>0</v>
      </c>
      <c r="M555" s="250">
        <v>3.285680745049957E-2</v>
      </c>
      <c r="N555" s="250">
        <v>2.1072529874590844E-2</v>
      </c>
      <c r="O555" s="249">
        <v>1.7222019985541501E-2</v>
      </c>
      <c r="P555" s="249">
        <v>0</v>
      </c>
      <c r="Q555" s="250">
        <v>0</v>
      </c>
      <c r="R555" s="252">
        <v>0</v>
      </c>
      <c r="S555" s="15"/>
      <c r="T555" s="15"/>
      <c r="U555" s="15"/>
      <c r="V555" s="15"/>
    </row>
    <row r="556" spans="1:22">
      <c r="A556" s="253"/>
      <c r="B556" s="254" t="s">
        <v>101</v>
      </c>
      <c r="C556" s="255">
        <v>3.6249833854928165E-5</v>
      </c>
      <c r="D556" s="256">
        <v>0</v>
      </c>
      <c r="E556" s="256">
        <v>4.1224025215970111E-3</v>
      </c>
      <c r="F556" s="256">
        <v>0</v>
      </c>
      <c r="G556" s="256">
        <v>0</v>
      </c>
      <c r="H556" s="256">
        <v>1.188735370159295E-2</v>
      </c>
      <c r="I556" s="256">
        <v>0</v>
      </c>
      <c r="J556" s="257">
        <v>3.5558500937421622E-3</v>
      </c>
      <c r="K556" s="255">
        <v>0</v>
      </c>
      <c r="L556" s="256">
        <v>0</v>
      </c>
      <c r="M556" s="256">
        <v>2.7404906092149694E-2</v>
      </c>
      <c r="N556" s="256">
        <v>1.8991567207875714E-2</v>
      </c>
      <c r="O556" s="255">
        <v>1.5203769783681344E-2</v>
      </c>
      <c r="P556" s="255">
        <v>0</v>
      </c>
      <c r="Q556" s="256">
        <v>0</v>
      </c>
      <c r="R556" s="258">
        <v>0</v>
      </c>
      <c r="S556" s="15"/>
      <c r="T556" s="15"/>
      <c r="U556" s="15"/>
      <c r="V556" s="15"/>
    </row>
    <row r="557" spans="1:22">
      <c r="A557" s="253"/>
      <c r="B557" s="317" t="s">
        <v>102</v>
      </c>
      <c r="C557" s="318">
        <v>0</v>
      </c>
      <c r="D557" s="319">
        <v>0</v>
      </c>
      <c r="E557" s="319">
        <v>0.32045811162109666</v>
      </c>
      <c r="F557" s="319">
        <v>0</v>
      </c>
      <c r="G557" s="319">
        <v>0</v>
      </c>
      <c r="H557" s="319">
        <v>0.354290901427738</v>
      </c>
      <c r="I557" s="319">
        <v>0</v>
      </c>
      <c r="J557" s="320">
        <v>0.13756160951731883</v>
      </c>
      <c r="K557" s="318">
        <v>0</v>
      </c>
      <c r="L557" s="319">
        <v>0</v>
      </c>
      <c r="M557" s="319">
        <v>-0.54519013583498765</v>
      </c>
      <c r="N557" s="319">
        <v>-0.20809626667151299</v>
      </c>
      <c r="O557" s="318">
        <v>-0.20182502018601561</v>
      </c>
      <c r="P557" s="321">
        <v>0</v>
      </c>
      <c r="Q557" s="319">
        <v>0</v>
      </c>
      <c r="R557" s="322">
        <v>0</v>
      </c>
      <c r="S557" s="15"/>
      <c r="T557" s="15"/>
      <c r="U557" s="15"/>
      <c r="V557" s="15"/>
    </row>
    <row r="558" spans="1:22">
      <c r="A558" s="253"/>
      <c r="B558" s="234" t="s">
        <v>103</v>
      </c>
      <c r="C558" s="249">
        <v>4.0038500924083681E-3</v>
      </c>
      <c r="D558" s="250">
        <v>0</v>
      </c>
      <c r="E558" s="250">
        <v>0</v>
      </c>
      <c r="F558" s="250">
        <v>0</v>
      </c>
      <c r="G558" s="250">
        <v>0</v>
      </c>
      <c r="H558" s="250">
        <v>7.0493344116811293E-4</v>
      </c>
      <c r="I558" s="250">
        <v>0</v>
      </c>
      <c r="J558" s="251">
        <v>1.8908574860316372E-3</v>
      </c>
      <c r="K558" s="249">
        <v>8.1980893378106826E-3</v>
      </c>
      <c r="L558" s="250">
        <v>0</v>
      </c>
      <c r="M558" s="250">
        <v>0</v>
      </c>
      <c r="N558" s="250">
        <v>1.0037193377682858E-4</v>
      </c>
      <c r="O558" s="249">
        <v>2.1602295585714457E-3</v>
      </c>
      <c r="P558" s="249">
        <v>0</v>
      </c>
      <c r="Q558" s="250">
        <v>0</v>
      </c>
      <c r="R558" s="252">
        <v>0</v>
      </c>
      <c r="S558" s="15"/>
      <c r="T558" s="15"/>
      <c r="U558" s="15"/>
      <c r="V558" s="15"/>
    </row>
    <row r="559" spans="1:22">
      <c r="A559" s="253"/>
      <c r="B559" s="254" t="s">
        <v>104</v>
      </c>
      <c r="C559" s="255">
        <v>3.9844609045541872E-3</v>
      </c>
      <c r="D559" s="256">
        <v>0</v>
      </c>
      <c r="E559" s="256">
        <v>0</v>
      </c>
      <c r="F559" s="256">
        <v>0</v>
      </c>
      <c r="G559" s="256">
        <v>0</v>
      </c>
      <c r="H559" s="256">
        <v>1.0286063773595396E-4</v>
      </c>
      <c r="I559" s="256">
        <v>0</v>
      </c>
      <c r="J559" s="257">
        <v>1.7517309393665348E-3</v>
      </c>
      <c r="K559" s="255">
        <v>7.7608604929795509E-3</v>
      </c>
      <c r="L559" s="256">
        <v>0</v>
      </c>
      <c r="M559" s="256">
        <v>0</v>
      </c>
      <c r="N559" s="256">
        <v>5.0892256168633956E-4</v>
      </c>
      <c r="O559" s="255">
        <v>2.2861142886411363E-3</v>
      </c>
      <c r="P559" s="255">
        <v>0</v>
      </c>
      <c r="Q559" s="256">
        <v>0</v>
      </c>
      <c r="R559" s="258">
        <v>0</v>
      </c>
      <c r="S559" s="15"/>
      <c r="T559" s="15"/>
      <c r="U559" s="15"/>
      <c r="V559" s="15"/>
    </row>
    <row r="560" spans="1:22">
      <c r="A560" s="253"/>
      <c r="B560" s="317" t="s">
        <v>105</v>
      </c>
      <c r="C560" s="318">
        <v>-1.938918785418086E-3</v>
      </c>
      <c r="D560" s="319">
        <v>0</v>
      </c>
      <c r="E560" s="319">
        <v>0</v>
      </c>
      <c r="F560" s="319">
        <v>0</v>
      </c>
      <c r="G560" s="319">
        <v>0</v>
      </c>
      <c r="H560" s="319">
        <v>-6.0207280343215895E-2</v>
      </c>
      <c r="I560" s="319">
        <v>0</v>
      </c>
      <c r="J560" s="320">
        <v>-1.3912654666510234E-2</v>
      </c>
      <c r="K560" s="318">
        <v>-4.3722884483113171E-2</v>
      </c>
      <c r="L560" s="319">
        <v>0</v>
      </c>
      <c r="M560" s="319">
        <v>0</v>
      </c>
      <c r="N560" s="319">
        <v>4.0855062790951101E-2</v>
      </c>
      <c r="O560" s="318">
        <v>1.2588473006969062E-2</v>
      </c>
      <c r="P560" s="321">
        <v>0</v>
      </c>
      <c r="Q560" s="319">
        <v>0</v>
      </c>
      <c r="R560" s="322">
        <v>0</v>
      </c>
      <c r="S560" s="15"/>
      <c r="T560" s="15"/>
      <c r="U560" s="15"/>
      <c r="V560" s="15"/>
    </row>
    <row r="561" spans="1:22">
      <c r="A561" s="253"/>
      <c r="B561" s="234" t="s">
        <v>106</v>
      </c>
      <c r="C561" s="249">
        <v>0</v>
      </c>
      <c r="D561" s="250">
        <v>0</v>
      </c>
      <c r="E561" s="250">
        <v>0</v>
      </c>
      <c r="F561" s="250">
        <v>0</v>
      </c>
      <c r="G561" s="250">
        <v>0</v>
      </c>
      <c r="H561" s="250">
        <v>0</v>
      </c>
      <c r="I561" s="250">
        <v>0</v>
      </c>
      <c r="J561" s="251">
        <v>0</v>
      </c>
      <c r="K561" s="249">
        <v>0</v>
      </c>
      <c r="L561" s="250">
        <v>0</v>
      </c>
      <c r="M561" s="250">
        <v>0</v>
      </c>
      <c r="N561" s="250">
        <v>9.368047152504001E-4</v>
      </c>
      <c r="O561" s="249">
        <v>5.7423823708861212E-4</v>
      </c>
      <c r="P561" s="249">
        <v>0</v>
      </c>
      <c r="Q561" s="250">
        <v>0</v>
      </c>
      <c r="R561" s="252">
        <v>0</v>
      </c>
      <c r="S561" s="15"/>
      <c r="T561" s="15"/>
      <c r="U561" s="15"/>
      <c r="V561" s="15"/>
    </row>
    <row r="562" spans="1:22">
      <c r="A562" s="253"/>
      <c r="B562" s="254" t="s">
        <v>107</v>
      </c>
      <c r="C562" s="255">
        <v>0</v>
      </c>
      <c r="D562" s="256">
        <v>0</v>
      </c>
      <c r="E562" s="256">
        <v>0</v>
      </c>
      <c r="F562" s="256">
        <v>0</v>
      </c>
      <c r="G562" s="256">
        <v>0</v>
      </c>
      <c r="H562" s="256">
        <v>0</v>
      </c>
      <c r="I562" s="256">
        <v>0</v>
      </c>
      <c r="J562" s="257">
        <v>0</v>
      </c>
      <c r="K562" s="255">
        <v>0</v>
      </c>
      <c r="L562" s="256">
        <v>0</v>
      </c>
      <c r="M562" s="256">
        <v>0</v>
      </c>
      <c r="N562" s="256">
        <v>0</v>
      </c>
      <c r="O562" s="255">
        <v>0</v>
      </c>
      <c r="P562" s="255">
        <v>0</v>
      </c>
      <c r="Q562" s="256">
        <v>0</v>
      </c>
      <c r="R562" s="258">
        <v>0</v>
      </c>
      <c r="S562" s="15"/>
      <c r="T562" s="15"/>
      <c r="U562" s="15"/>
      <c r="V562" s="15"/>
    </row>
    <row r="563" spans="1:22">
      <c r="A563" s="253"/>
      <c r="B563" s="317" t="s">
        <v>108</v>
      </c>
      <c r="C563" s="318">
        <v>0</v>
      </c>
      <c r="D563" s="319">
        <v>0</v>
      </c>
      <c r="E563" s="319">
        <v>0</v>
      </c>
      <c r="F563" s="319">
        <v>0</v>
      </c>
      <c r="G563" s="319">
        <v>0</v>
      </c>
      <c r="H563" s="319">
        <v>0</v>
      </c>
      <c r="I563" s="319">
        <v>0</v>
      </c>
      <c r="J563" s="320">
        <v>0</v>
      </c>
      <c r="K563" s="318">
        <v>0</v>
      </c>
      <c r="L563" s="319">
        <v>0</v>
      </c>
      <c r="M563" s="319">
        <v>0</v>
      </c>
      <c r="N563" s="319">
        <v>-9.3680471525040013E-2</v>
      </c>
      <c r="O563" s="318">
        <v>-5.7423823708861212E-2</v>
      </c>
      <c r="P563" s="321">
        <v>0</v>
      </c>
      <c r="Q563" s="319">
        <v>0</v>
      </c>
      <c r="R563" s="322">
        <v>0</v>
      </c>
      <c r="S563" s="15"/>
      <c r="T563" s="15"/>
      <c r="U563" s="15"/>
      <c r="V563" s="15"/>
    </row>
    <row r="564" spans="1:22">
      <c r="A564" s="253"/>
      <c r="B564" s="234" t="s">
        <v>109</v>
      </c>
      <c r="C564" s="249">
        <v>0.66191904715276351</v>
      </c>
      <c r="D564" s="250">
        <v>0</v>
      </c>
      <c r="E564" s="250">
        <v>0.32981478151411614</v>
      </c>
      <c r="F564" s="250">
        <v>0</v>
      </c>
      <c r="G564" s="250">
        <v>0.51475562813484199</v>
      </c>
      <c r="H564" s="250">
        <v>0.20368432070337031</v>
      </c>
      <c r="I564" s="250">
        <v>0</v>
      </c>
      <c r="J564" s="251">
        <v>0.54101832904019376</v>
      </c>
      <c r="K564" s="249">
        <v>0</v>
      </c>
      <c r="L564" s="250">
        <v>0</v>
      </c>
      <c r="M564" s="250">
        <v>0</v>
      </c>
      <c r="N564" s="250">
        <v>0</v>
      </c>
      <c r="O564" s="249">
        <v>0</v>
      </c>
      <c r="P564" s="249">
        <v>0</v>
      </c>
      <c r="Q564" s="250">
        <v>0</v>
      </c>
      <c r="R564" s="252">
        <v>0</v>
      </c>
      <c r="S564" s="15"/>
      <c r="T564" s="15"/>
      <c r="U564" s="15"/>
      <c r="V564" s="15"/>
    </row>
    <row r="565" spans="1:22">
      <c r="A565" s="253"/>
      <c r="B565" s="254" t="s">
        <v>110</v>
      </c>
      <c r="C565" s="255">
        <v>0.65562990824540557</v>
      </c>
      <c r="D565" s="256">
        <v>0</v>
      </c>
      <c r="E565" s="256">
        <v>0.29566748983149332</v>
      </c>
      <c r="F565" s="256">
        <v>0</v>
      </c>
      <c r="G565" s="256">
        <v>0.52140891579526694</v>
      </c>
      <c r="H565" s="256">
        <v>0.16727212681638046</v>
      </c>
      <c r="I565" s="256">
        <v>0</v>
      </c>
      <c r="J565" s="257">
        <v>0.52386050444158949</v>
      </c>
      <c r="K565" s="255">
        <v>0</v>
      </c>
      <c r="L565" s="256">
        <v>0</v>
      </c>
      <c r="M565" s="256">
        <v>0</v>
      </c>
      <c r="N565" s="256">
        <v>0</v>
      </c>
      <c r="O565" s="255">
        <v>0</v>
      </c>
      <c r="P565" s="255">
        <v>0</v>
      </c>
      <c r="Q565" s="256">
        <v>0</v>
      </c>
      <c r="R565" s="258">
        <v>0</v>
      </c>
      <c r="S565" s="15"/>
      <c r="T565" s="15"/>
      <c r="U565" s="15"/>
      <c r="V565" s="15"/>
    </row>
    <row r="566" spans="1:22">
      <c r="A566" s="253"/>
      <c r="B566" s="317" t="s">
        <v>111</v>
      </c>
      <c r="C566" s="318">
        <v>-0.62891389073579385</v>
      </c>
      <c r="D566" s="319">
        <v>0</v>
      </c>
      <c r="E566" s="319">
        <v>-3.4147291682622818</v>
      </c>
      <c r="F566" s="319">
        <v>0</v>
      </c>
      <c r="G566" s="319">
        <v>0.66532876604249447</v>
      </c>
      <c r="H566" s="319">
        <v>-3.6412193886989854</v>
      </c>
      <c r="I566" s="319">
        <v>0</v>
      </c>
      <c r="J566" s="320">
        <v>-1.7157824598604265</v>
      </c>
      <c r="K566" s="318">
        <v>0</v>
      </c>
      <c r="L566" s="319">
        <v>0</v>
      </c>
      <c r="M566" s="319">
        <v>0</v>
      </c>
      <c r="N566" s="319">
        <v>0</v>
      </c>
      <c r="O566" s="318">
        <v>0</v>
      </c>
      <c r="P566" s="321">
        <v>0</v>
      </c>
      <c r="Q566" s="319">
        <v>0</v>
      </c>
      <c r="R566" s="322">
        <v>0</v>
      </c>
      <c r="S566" s="15"/>
      <c r="T566" s="15"/>
      <c r="U566" s="15"/>
      <c r="V566" s="15"/>
    </row>
    <row r="567" spans="1:22">
      <c r="A567" s="253"/>
      <c r="B567" s="234" t="s">
        <v>112</v>
      </c>
      <c r="C567" s="249">
        <v>9.4759518235309828E-2</v>
      </c>
      <c r="D567" s="250">
        <v>0</v>
      </c>
      <c r="E567" s="250">
        <v>0.44707786369358027</v>
      </c>
      <c r="F567" s="250">
        <v>0</v>
      </c>
      <c r="G567" s="250">
        <v>0</v>
      </c>
      <c r="H567" s="250">
        <v>0.29579233828762824</v>
      </c>
      <c r="I567" s="250">
        <v>0</v>
      </c>
      <c r="J567" s="251">
        <v>0.2036437447944533</v>
      </c>
      <c r="K567" s="249">
        <v>0</v>
      </c>
      <c r="L567" s="250">
        <v>0</v>
      </c>
      <c r="M567" s="250">
        <v>0</v>
      </c>
      <c r="N567" s="250">
        <v>0</v>
      </c>
      <c r="O567" s="249">
        <v>0</v>
      </c>
      <c r="P567" s="249">
        <v>0</v>
      </c>
      <c r="Q567" s="250">
        <v>0</v>
      </c>
      <c r="R567" s="252">
        <v>0</v>
      </c>
      <c r="S567" s="15"/>
      <c r="T567" s="15"/>
      <c r="U567" s="15"/>
      <c r="V567" s="15"/>
    </row>
    <row r="568" spans="1:22">
      <c r="A568" s="253"/>
      <c r="B568" s="254" t="s">
        <v>113</v>
      </c>
      <c r="C568" s="255">
        <v>8.980693117958706E-2</v>
      </c>
      <c r="D568" s="256">
        <v>0</v>
      </c>
      <c r="E568" s="256">
        <v>0.50228791400348638</v>
      </c>
      <c r="F568" s="256">
        <v>0</v>
      </c>
      <c r="G568" s="256">
        <v>0</v>
      </c>
      <c r="H568" s="256">
        <v>0.28038309114927346</v>
      </c>
      <c r="I568" s="256">
        <v>0</v>
      </c>
      <c r="J568" s="257">
        <v>0.21638062610490716</v>
      </c>
      <c r="K568" s="255">
        <v>0</v>
      </c>
      <c r="L568" s="256">
        <v>0</v>
      </c>
      <c r="M568" s="256">
        <v>0</v>
      </c>
      <c r="N568" s="256">
        <v>0</v>
      </c>
      <c r="O568" s="255">
        <v>0</v>
      </c>
      <c r="P568" s="255">
        <v>0</v>
      </c>
      <c r="Q568" s="256">
        <v>0</v>
      </c>
      <c r="R568" s="258">
        <v>0</v>
      </c>
      <c r="S568" s="15"/>
      <c r="T568" s="15"/>
      <c r="U568" s="15"/>
      <c r="V568" s="15"/>
    </row>
    <row r="569" spans="1:22">
      <c r="A569" s="253"/>
      <c r="B569" s="317" t="s">
        <v>114</v>
      </c>
      <c r="C569" s="318">
        <v>-0.4952587055722768</v>
      </c>
      <c r="D569" s="319">
        <v>0</v>
      </c>
      <c r="E569" s="331">
        <v>5.5210050309906116</v>
      </c>
      <c r="F569" s="319">
        <v>0</v>
      </c>
      <c r="G569" s="319">
        <v>0</v>
      </c>
      <c r="H569" s="319">
        <v>-1.5409247138354787</v>
      </c>
      <c r="I569" s="319">
        <v>0</v>
      </c>
      <c r="J569" s="320">
        <v>1.2736881310453863</v>
      </c>
      <c r="K569" s="318">
        <v>0</v>
      </c>
      <c r="L569" s="319">
        <v>0</v>
      </c>
      <c r="M569" s="319">
        <v>0</v>
      </c>
      <c r="N569" s="319">
        <v>0</v>
      </c>
      <c r="O569" s="318">
        <v>0</v>
      </c>
      <c r="P569" s="321">
        <v>0</v>
      </c>
      <c r="Q569" s="319">
        <v>0</v>
      </c>
      <c r="R569" s="322">
        <v>0</v>
      </c>
      <c r="S569" s="15"/>
      <c r="T569" s="15"/>
      <c r="U569" s="15"/>
      <c r="V569" s="15"/>
    </row>
    <row r="570" spans="1:22">
      <c r="A570" s="253"/>
      <c r="B570" s="234" t="s">
        <v>115</v>
      </c>
      <c r="C570" s="249">
        <v>0.21788012854179833</v>
      </c>
      <c r="D570" s="250">
        <v>0</v>
      </c>
      <c r="E570" s="250">
        <v>0.21458370796619314</v>
      </c>
      <c r="F570" s="250">
        <v>0</v>
      </c>
      <c r="G570" s="250">
        <v>0.48524437186515806</v>
      </c>
      <c r="H570" s="250">
        <v>0.50052334100900142</v>
      </c>
      <c r="I570" s="250">
        <v>0</v>
      </c>
      <c r="J570" s="251">
        <v>0.23695924367198576</v>
      </c>
      <c r="K570" s="249">
        <v>0</v>
      </c>
      <c r="L570" s="250">
        <v>0</v>
      </c>
      <c r="M570" s="250">
        <v>0</v>
      </c>
      <c r="N570" s="250">
        <v>0</v>
      </c>
      <c r="O570" s="249">
        <v>0</v>
      </c>
      <c r="P570" s="249">
        <v>0</v>
      </c>
      <c r="Q570" s="250">
        <v>0</v>
      </c>
      <c r="R570" s="252">
        <v>0</v>
      </c>
      <c r="S570" s="15"/>
      <c r="T570" s="15"/>
      <c r="U570" s="15"/>
      <c r="V570" s="15"/>
    </row>
    <row r="571" spans="1:22">
      <c r="A571" s="253"/>
      <c r="B571" s="254" t="s">
        <v>116</v>
      </c>
      <c r="C571" s="255">
        <v>0.24552171465839953</v>
      </c>
      <c r="D571" s="256">
        <v>0</v>
      </c>
      <c r="E571" s="256">
        <v>0.19953878558977339</v>
      </c>
      <c r="F571" s="256">
        <v>0</v>
      </c>
      <c r="G571" s="256">
        <v>0.47859108420473306</v>
      </c>
      <c r="H571" s="256">
        <v>0.55234478203434612</v>
      </c>
      <c r="I571" s="256">
        <v>0</v>
      </c>
      <c r="J571" s="257">
        <v>0.25344511425151806</v>
      </c>
      <c r="K571" s="255">
        <v>0</v>
      </c>
      <c r="L571" s="256">
        <v>0</v>
      </c>
      <c r="M571" s="256">
        <v>0</v>
      </c>
      <c r="N571" s="256">
        <v>0</v>
      </c>
      <c r="O571" s="255">
        <v>0</v>
      </c>
      <c r="P571" s="255">
        <v>0</v>
      </c>
      <c r="Q571" s="256">
        <v>0</v>
      </c>
      <c r="R571" s="258">
        <v>0</v>
      </c>
      <c r="S571" s="15"/>
      <c r="T571" s="15"/>
      <c r="U571" s="15"/>
      <c r="V571" s="15"/>
    </row>
    <row r="572" spans="1:22">
      <c r="A572" s="253"/>
      <c r="B572" s="317" t="s">
        <v>117</v>
      </c>
      <c r="C572" s="318">
        <v>2.7641586116601196</v>
      </c>
      <c r="D572" s="319">
        <v>0</v>
      </c>
      <c r="E572" s="319">
        <v>-1.5044922376419745</v>
      </c>
      <c r="F572" s="319">
        <v>0</v>
      </c>
      <c r="G572" s="319">
        <v>-0.66532876604250002</v>
      </c>
      <c r="H572" s="319">
        <v>5.182144102534469</v>
      </c>
      <c r="I572" s="319">
        <v>0</v>
      </c>
      <c r="J572" s="320">
        <v>1.6485870579532298</v>
      </c>
      <c r="K572" s="318">
        <v>0</v>
      </c>
      <c r="L572" s="319">
        <v>0</v>
      </c>
      <c r="M572" s="319">
        <v>0</v>
      </c>
      <c r="N572" s="319">
        <v>0</v>
      </c>
      <c r="O572" s="318">
        <v>0</v>
      </c>
      <c r="P572" s="321">
        <v>0</v>
      </c>
      <c r="Q572" s="319">
        <v>0</v>
      </c>
      <c r="R572" s="322">
        <v>0</v>
      </c>
      <c r="S572" s="15"/>
      <c r="T572" s="15"/>
      <c r="U572" s="15"/>
      <c r="V572" s="15"/>
    </row>
    <row r="573" spans="1:22">
      <c r="A573" s="253"/>
      <c r="B573" s="234" t="s">
        <v>118</v>
      </c>
      <c r="C573" s="249">
        <v>2.1319778879621141E-2</v>
      </c>
      <c r="D573" s="250">
        <v>0</v>
      </c>
      <c r="E573" s="250">
        <v>8.523646826110412E-3</v>
      </c>
      <c r="F573" s="250">
        <v>0</v>
      </c>
      <c r="G573" s="250">
        <v>0</v>
      </c>
      <c r="H573" s="250">
        <v>0</v>
      </c>
      <c r="I573" s="250">
        <v>0</v>
      </c>
      <c r="J573" s="251">
        <v>1.5824861966827912E-2</v>
      </c>
      <c r="K573" s="249">
        <v>0</v>
      </c>
      <c r="L573" s="250">
        <v>0</v>
      </c>
      <c r="M573" s="250">
        <v>0</v>
      </c>
      <c r="N573" s="250">
        <v>0</v>
      </c>
      <c r="O573" s="249">
        <v>0</v>
      </c>
      <c r="P573" s="249">
        <v>0</v>
      </c>
      <c r="Q573" s="250">
        <v>0</v>
      </c>
      <c r="R573" s="252">
        <v>0</v>
      </c>
      <c r="S573" s="15"/>
      <c r="T573" s="15"/>
      <c r="U573" s="15"/>
      <c r="V573" s="15"/>
    </row>
    <row r="574" spans="1:22">
      <c r="A574" s="253"/>
      <c r="B574" s="254" t="s">
        <v>119</v>
      </c>
      <c r="C574" s="255">
        <v>7.4154151292337104E-3</v>
      </c>
      <c r="D574" s="256">
        <v>0</v>
      </c>
      <c r="E574" s="256">
        <v>2.5058105752469493E-3</v>
      </c>
      <c r="F574" s="256">
        <v>0</v>
      </c>
      <c r="G574" s="256">
        <v>0</v>
      </c>
      <c r="H574" s="256">
        <v>0</v>
      </c>
      <c r="I574" s="256">
        <v>0</v>
      </c>
      <c r="J574" s="257">
        <v>5.3145348134971612E-3</v>
      </c>
      <c r="K574" s="255">
        <v>0</v>
      </c>
      <c r="L574" s="256">
        <v>0</v>
      </c>
      <c r="M574" s="256">
        <v>0</v>
      </c>
      <c r="N574" s="256">
        <v>0</v>
      </c>
      <c r="O574" s="255">
        <v>0</v>
      </c>
      <c r="P574" s="255">
        <v>0</v>
      </c>
      <c r="Q574" s="256">
        <v>0</v>
      </c>
      <c r="R574" s="258">
        <v>0</v>
      </c>
      <c r="S574" s="15"/>
      <c r="T574" s="15"/>
      <c r="U574" s="15"/>
      <c r="V574" s="15"/>
    </row>
    <row r="575" spans="1:22">
      <c r="A575" s="253"/>
      <c r="B575" s="317" t="s">
        <v>120</v>
      </c>
      <c r="C575" s="318">
        <v>-1.390436375038743</v>
      </c>
      <c r="D575" s="319">
        <v>0</v>
      </c>
      <c r="E575" s="319">
        <v>-0.6017836250863462</v>
      </c>
      <c r="F575" s="319">
        <v>0</v>
      </c>
      <c r="G575" s="319">
        <v>0</v>
      </c>
      <c r="H575" s="319">
        <v>0</v>
      </c>
      <c r="I575" s="319">
        <v>0</v>
      </c>
      <c r="J575" s="320">
        <v>-1.0510327153330752</v>
      </c>
      <c r="K575" s="318">
        <v>0</v>
      </c>
      <c r="L575" s="319">
        <v>0</v>
      </c>
      <c r="M575" s="319">
        <v>0</v>
      </c>
      <c r="N575" s="319">
        <v>0</v>
      </c>
      <c r="O575" s="318">
        <v>0</v>
      </c>
      <c r="P575" s="321">
        <v>0</v>
      </c>
      <c r="Q575" s="319">
        <v>0</v>
      </c>
      <c r="R575" s="322">
        <v>0</v>
      </c>
      <c r="S575" s="15"/>
      <c r="T575" s="15"/>
      <c r="U575" s="15"/>
      <c r="V575" s="15"/>
    </row>
    <row r="576" spans="1:22">
      <c r="A576" s="253"/>
      <c r="B576" s="234" t="s">
        <v>121</v>
      </c>
      <c r="C576" s="249">
        <v>4.1215271905071351E-3</v>
      </c>
      <c r="D576" s="250">
        <v>0</v>
      </c>
      <c r="E576" s="250">
        <v>0</v>
      </c>
      <c r="F576" s="250">
        <v>0</v>
      </c>
      <c r="G576" s="250">
        <v>0</v>
      </c>
      <c r="H576" s="250">
        <v>0</v>
      </c>
      <c r="I576" s="250">
        <v>0</v>
      </c>
      <c r="J576" s="251">
        <v>2.5538205265393248E-3</v>
      </c>
      <c r="K576" s="249">
        <v>0</v>
      </c>
      <c r="L576" s="250">
        <v>0</v>
      </c>
      <c r="M576" s="250">
        <v>0</v>
      </c>
      <c r="N576" s="250">
        <v>0</v>
      </c>
      <c r="O576" s="249">
        <v>0</v>
      </c>
      <c r="P576" s="249">
        <v>0</v>
      </c>
      <c r="Q576" s="250">
        <v>0</v>
      </c>
      <c r="R576" s="252">
        <v>0</v>
      </c>
      <c r="S576" s="15"/>
      <c r="T576" s="15"/>
      <c r="U576" s="15"/>
      <c r="V576" s="15"/>
    </row>
    <row r="577" spans="1:22">
      <c r="A577" s="253"/>
      <c r="B577" s="254" t="s">
        <v>122</v>
      </c>
      <c r="C577" s="255">
        <v>1.6260307873741389E-3</v>
      </c>
      <c r="D577" s="256">
        <v>0</v>
      </c>
      <c r="E577" s="256">
        <v>0</v>
      </c>
      <c r="F577" s="256">
        <v>0</v>
      </c>
      <c r="G577" s="256">
        <v>0</v>
      </c>
      <c r="H577" s="256">
        <v>0</v>
      </c>
      <c r="I577" s="256">
        <v>0</v>
      </c>
      <c r="J577" s="257">
        <v>9.9922038848810268E-4</v>
      </c>
      <c r="K577" s="255">
        <v>0</v>
      </c>
      <c r="L577" s="256">
        <v>0</v>
      </c>
      <c r="M577" s="256">
        <v>0</v>
      </c>
      <c r="N577" s="256">
        <v>0</v>
      </c>
      <c r="O577" s="255">
        <v>0</v>
      </c>
      <c r="P577" s="255">
        <v>0</v>
      </c>
      <c r="Q577" s="256">
        <v>0</v>
      </c>
      <c r="R577" s="258">
        <v>0</v>
      </c>
      <c r="S577" s="15"/>
      <c r="T577" s="15"/>
      <c r="U577" s="15"/>
      <c r="V577" s="15"/>
    </row>
    <row r="578" spans="1:22">
      <c r="A578" s="253"/>
      <c r="B578" s="317" t="s">
        <v>123</v>
      </c>
      <c r="C578" s="318">
        <v>-0.24954964031329965</v>
      </c>
      <c r="D578" s="319">
        <v>0</v>
      </c>
      <c r="E578" s="319">
        <v>0</v>
      </c>
      <c r="F578" s="319">
        <v>0</v>
      </c>
      <c r="G578" s="319">
        <v>0</v>
      </c>
      <c r="H578" s="319">
        <v>0</v>
      </c>
      <c r="I578" s="319">
        <v>0</v>
      </c>
      <c r="J578" s="320">
        <v>-0.1554600138051222</v>
      </c>
      <c r="K578" s="318">
        <v>0</v>
      </c>
      <c r="L578" s="319">
        <v>0</v>
      </c>
      <c r="M578" s="319">
        <v>0</v>
      </c>
      <c r="N578" s="319">
        <v>0</v>
      </c>
      <c r="O578" s="318">
        <v>0</v>
      </c>
      <c r="P578" s="321">
        <v>0</v>
      </c>
      <c r="Q578" s="319">
        <v>0</v>
      </c>
      <c r="R578" s="322">
        <v>0</v>
      </c>
      <c r="S578" s="15"/>
      <c r="T578" s="15"/>
      <c r="U578" s="15"/>
      <c r="V578" s="15"/>
    </row>
    <row r="579" spans="1:22">
      <c r="A579" s="253"/>
      <c r="B579" s="234" t="s">
        <v>124</v>
      </c>
      <c r="C579" s="249">
        <v>0</v>
      </c>
      <c r="D579" s="250">
        <v>0</v>
      </c>
      <c r="E579" s="250">
        <v>0</v>
      </c>
      <c r="F579" s="250">
        <v>0</v>
      </c>
      <c r="G579" s="250">
        <v>0</v>
      </c>
      <c r="H579" s="250">
        <v>0</v>
      </c>
      <c r="I579" s="250">
        <v>0</v>
      </c>
      <c r="J579" s="251">
        <v>0</v>
      </c>
      <c r="K579" s="249">
        <v>0</v>
      </c>
      <c r="L579" s="250">
        <v>0</v>
      </c>
      <c r="M579" s="250">
        <v>0</v>
      </c>
      <c r="N579" s="250">
        <v>0</v>
      </c>
      <c r="O579" s="249">
        <v>0</v>
      </c>
      <c r="P579" s="249">
        <v>0</v>
      </c>
      <c r="Q579" s="250">
        <v>0</v>
      </c>
      <c r="R579" s="252">
        <v>0</v>
      </c>
      <c r="S579" s="15"/>
      <c r="T579" s="15"/>
      <c r="U579" s="15"/>
      <c r="V579" s="15"/>
    </row>
    <row r="580" spans="1:22">
      <c r="A580" s="253"/>
      <c r="B580" s="254" t="s">
        <v>125</v>
      </c>
      <c r="C580" s="255">
        <v>0</v>
      </c>
      <c r="D580" s="256">
        <v>0</v>
      </c>
      <c r="E580" s="256">
        <v>0</v>
      </c>
      <c r="F580" s="256">
        <v>0</v>
      </c>
      <c r="G580" s="256">
        <v>0</v>
      </c>
      <c r="H580" s="256">
        <v>0</v>
      </c>
      <c r="I580" s="256">
        <v>0</v>
      </c>
      <c r="J580" s="257">
        <v>0</v>
      </c>
      <c r="K580" s="255">
        <v>0</v>
      </c>
      <c r="L580" s="256">
        <v>0</v>
      </c>
      <c r="M580" s="256">
        <v>0</v>
      </c>
      <c r="N580" s="256">
        <v>0</v>
      </c>
      <c r="O580" s="255">
        <v>0</v>
      </c>
      <c r="P580" s="255">
        <v>0</v>
      </c>
      <c r="Q580" s="256">
        <v>0</v>
      </c>
      <c r="R580" s="258">
        <v>0</v>
      </c>
      <c r="S580" s="15"/>
      <c r="T580" s="15"/>
      <c r="U580" s="15"/>
      <c r="V580" s="15"/>
    </row>
    <row r="581" spans="1:22">
      <c r="A581" s="260"/>
      <c r="B581" s="317" t="s">
        <v>126</v>
      </c>
      <c r="C581" s="318">
        <v>0</v>
      </c>
      <c r="D581" s="319">
        <v>0</v>
      </c>
      <c r="E581" s="319">
        <v>0</v>
      </c>
      <c r="F581" s="319">
        <v>0</v>
      </c>
      <c r="G581" s="319">
        <v>0</v>
      </c>
      <c r="H581" s="319">
        <v>0</v>
      </c>
      <c r="I581" s="319">
        <v>0</v>
      </c>
      <c r="J581" s="320">
        <v>0</v>
      </c>
      <c r="K581" s="318">
        <v>0</v>
      </c>
      <c r="L581" s="319">
        <v>0</v>
      </c>
      <c r="M581" s="319">
        <v>0</v>
      </c>
      <c r="N581" s="319">
        <v>0</v>
      </c>
      <c r="O581" s="318">
        <v>0</v>
      </c>
      <c r="P581" s="321">
        <v>0</v>
      </c>
      <c r="Q581" s="319">
        <v>0</v>
      </c>
      <c r="R581" s="322">
        <v>0</v>
      </c>
      <c r="S581" s="15"/>
      <c r="T581" s="15"/>
      <c r="U581" s="15"/>
      <c r="V581" s="15"/>
    </row>
    <row r="582" spans="1:22">
      <c r="A582" s="248" t="s">
        <v>127</v>
      </c>
      <c r="B582" s="234"/>
      <c r="C582" s="249">
        <v>0.87732938015906747</v>
      </c>
      <c r="D582" s="250">
        <v>0.91194891965460201</v>
      </c>
      <c r="E582" s="250">
        <v>0.87211637995162872</v>
      </c>
      <c r="F582" s="250">
        <v>0.87648817810248247</v>
      </c>
      <c r="G582" s="250">
        <v>0.87283302626455639</v>
      </c>
      <c r="H582" s="250">
        <v>0.83743052742730062</v>
      </c>
      <c r="I582" s="250">
        <v>0</v>
      </c>
      <c r="J582" s="251">
        <v>0.86991431709428702</v>
      </c>
      <c r="K582" s="249">
        <v>0.75414120400225393</v>
      </c>
      <c r="L582" s="250">
        <v>0.73563020381092203</v>
      </c>
      <c r="M582" s="250">
        <v>0.66687918674425761</v>
      </c>
      <c r="N582" s="250">
        <v>0.67580214841668895</v>
      </c>
      <c r="O582" s="249">
        <v>0.71593134569123851</v>
      </c>
      <c r="P582" s="249">
        <v>0.79917526661064353</v>
      </c>
      <c r="Q582" s="250">
        <v>0.71041784836453015</v>
      </c>
      <c r="R582" s="252">
        <v>0.79707839766369726</v>
      </c>
      <c r="S582" s="15"/>
      <c r="T582" s="15"/>
      <c r="U582" s="15"/>
      <c r="V582" s="15"/>
    </row>
    <row r="583" spans="1:22">
      <c r="A583" s="253" t="s">
        <v>128</v>
      </c>
      <c r="B583" s="254"/>
      <c r="C583" s="255">
        <v>0.86840937296339649</v>
      </c>
      <c r="D583" s="256">
        <v>0.90143791538096207</v>
      </c>
      <c r="E583" s="256">
        <v>0.857178333813291</v>
      </c>
      <c r="F583" s="256">
        <v>0.86747756946163135</v>
      </c>
      <c r="G583" s="256">
        <v>0.84249277067472428</v>
      </c>
      <c r="H583" s="256">
        <v>0.83079767453637465</v>
      </c>
      <c r="I583" s="256">
        <v>0</v>
      </c>
      <c r="J583" s="257">
        <v>0.85763749466213779</v>
      </c>
      <c r="K583" s="255">
        <v>0.68514749716216772</v>
      </c>
      <c r="L583" s="256">
        <v>0.71320831800060358</v>
      </c>
      <c r="M583" s="256">
        <v>0.62834251461614521</v>
      </c>
      <c r="N583" s="256">
        <v>0.64528722392841265</v>
      </c>
      <c r="O583" s="255">
        <v>0.68457432492789694</v>
      </c>
      <c r="P583" s="255">
        <v>0.77547766259498818</v>
      </c>
      <c r="Q583" s="256">
        <v>0.66522179461211262</v>
      </c>
      <c r="R583" s="258">
        <v>0.77290058392227656</v>
      </c>
      <c r="S583" s="15"/>
      <c r="T583" s="15"/>
      <c r="U583" s="15"/>
      <c r="V583" s="15"/>
    </row>
    <row r="584" spans="1:22">
      <c r="A584" s="253" t="s">
        <v>129</v>
      </c>
      <c r="B584" s="317"/>
      <c r="C584" s="318">
        <v>-0.8920007195670987</v>
      </c>
      <c r="D584" s="319">
        <v>-1.0511004273639935</v>
      </c>
      <c r="E584" s="319">
        <v>-1.4938046138337713</v>
      </c>
      <c r="F584" s="319">
        <v>-0.90106086408511255</v>
      </c>
      <c r="G584" s="319">
        <v>-3.034025558983211</v>
      </c>
      <c r="H584" s="319">
        <v>-0.66328528909259665</v>
      </c>
      <c r="I584" s="319">
        <v>0</v>
      </c>
      <c r="J584" s="320">
        <v>-1.2276822432149226</v>
      </c>
      <c r="K584" s="318">
        <v>-6.8993706840086215</v>
      </c>
      <c r="L584" s="319">
        <v>-2.2421885810318454</v>
      </c>
      <c r="M584" s="319">
        <v>-3.8536672128112404</v>
      </c>
      <c r="N584" s="319">
        <v>-3.0514924488276307</v>
      </c>
      <c r="O584" s="318">
        <v>-3.135702076334157</v>
      </c>
      <c r="P584" s="321">
        <v>-2.3697604015655349</v>
      </c>
      <c r="Q584" s="319">
        <v>-4.5196053752417527</v>
      </c>
      <c r="R584" s="322">
        <v>-2.4177813741420695</v>
      </c>
      <c r="S584" s="15"/>
      <c r="T584" s="15"/>
      <c r="U584" s="15"/>
      <c r="V584" s="15"/>
    </row>
    <row r="585" spans="1:22">
      <c r="A585" s="253" t="s">
        <v>130</v>
      </c>
      <c r="B585" s="234"/>
      <c r="C585" s="249">
        <v>2.9265367731565711E-2</v>
      </c>
      <c r="D585" s="250">
        <v>4.0036380528168859E-2</v>
      </c>
      <c r="E585" s="250">
        <v>2.7299021724433905E-2</v>
      </c>
      <c r="F585" s="250">
        <v>2.2720012379625433E-2</v>
      </c>
      <c r="G585" s="250">
        <v>2.2174231259268703E-2</v>
      </c>
      <c r="H585" s="250">
        <v>3.8059495415130352E-2</v>
      </c>
      <c r="I585" s="250">
        <v>0.1353601029710654</v>
      </c>
      <c r="J585" s="251">
        <v>3.0077594409784098E-2</v>
      </c>
      <c r="K585" s="249">
        <v>2.1407769518192666E-2</v>
      </c>
      <c r="L585" s="250">
        <v>7.4124236257955958E-2</v>
      </c>
      <c r="M585" s="250">
        <v>0.12314185809644226</v>
      </c>
      <c r="N585" s="250">
        <v>0.1004638500219692</v>
      </c>
      <c r="O585" s="249">
        <v>8.278522011121249E-2</v>
      </c>
      <c r="P585" s="249">
        <v>8.1697563068518393E-3</v>
      </c>
      <c r="Q585" s="250">
        <v>0.20820570996407639</v>
      </c>
      <c r="R585" s="252">
        <v>1.289554923532105E-2</v>
      </c>
      <c r="S585" s="15"/>
      <c r="T585" s="15"/>
      <c r="U585" s="15"/>
      <c r="V585" s="15"/>
    </row>
    <row r="586" spans="1:22">
      <c r="A586" s="253" t="s">
        <v>131</v>
      </c>
      <c r="B586" s="254"/>
      <c r="C586" s="255">
        <v>2.9574288642122595E-2</v>
      </c>
      <c r="D586" s="256">
        <v>3.8658787714684638E-2</v>
      </c>
      <c r="E586" s="256">
        <v>2.5475787489422155E-2</v>
      </c>
      <c r="F586" s="256">
        <v>2.2544406962202067E-2</v>
      </c>
      <c r="G586" s="256">
        <v>2.8497484538602878E-2</v>
      </c>
      <c r="H586" s="256">
        <v>3.9036894864606098E-2</v>
      </c>
      <c r="I586" s="256">
        <v>9.1003135533265084E-2</v>
      </c>
      <c r="J586" s="257">
        <v>2.9597234454862655E-2</v>
      </c>
      <c r="K586" s="255">
        <v>1.9330768767072296E-2</v>
      </c>
      <c r="L586" s="256">
        <v>7.1759013680623929E-2</v>
      </c>
      <c r="M586" s="256">
        <v>0.12514335608016283</v>
      </c>
      <c r="N586" s="256">
        <v>9.8862530833431245E-2</v>
      </c>
      <c r="O586" s="255">
        <v>8.1203503405756897E-2</v>
      </c>
      <c r="P586" s="255">
        <v>8.189032565293063E-3</v>
      </c>
      <c r="Q586" s="256">
        <v>0.21340895280534738</v>
      </c>
      <c r="R586" s="258">
        <v>1.298576483307928E-2</v>
      </c>
      <c r="S586" s="15"/>
      <c r="T586" s="15"/>
      <c r="U586" s="15"/>
      <c r="V586" s="15"/>
    </row>
    <row r="587" spans="1:22">
      <c r="A587" s="253" t="s">
        <v>132</v>
      </c>
      <c r="B587" s="317"/>
      <c r="C587" s="318">
        <v>3.0892091055688409E-2</v>
      </c>
      <c r="D587" s="319">
        <v>-0.13775928134842214</v>
      </c>
      <c r="E587" s="319">
        <v>-0.18232342350117497</v>
      </c>
      <c r="F587" s="319">
        <v>-1.7560541742336552E-2</v>
      </c>
      <c r="G587" s="319">
        <v>0.63232532793341745</v>
      </c>
      <c r="H587" s="319">
        <v>9.7739944947574514E-2</v>
      </c>
      <c r="I587" s="319">
        <v>-4.4356967437800323</v>
      </c>
      <c r="J587" s="320">
        <v>-4.8035995492144365E-2</v>
      </c>
      <c r="K587" s="318">
        <v>-0.20770007511203697</v>
      </c>
      <c r="L587" s="319">
        <v>-0.23652225773320296</v>
      </c>
      <c r="M587" s="319">
        <v>0.20014979837205682</v>
      </c>
      <c r="N587" s="319">
        <v>-0.1601319188537953</v>
      </c>
      <c r="O587" s="318">
        <v>-0.15817167054555936</v>
      </c>
      <c r="P587" s="321">
        <v>1.9276258441223645E-3</v>
      </c>
      <c r="Q587" s="319">
        <v>0.52032428412709941</v>
      </c>
      <c r="R587" s="322">
        <v>9.021559775822946E-3</v>
      </c>
      <c r="S587" s="15"/>
      <c r="T587" s="15"/>
      <c r="U587" s="15"/>
      <c r="V587" s="15"/>
    </row>
    <row r="588" spans="1:22">
      <c r="A588" s="253" t="s">
        <v>133</v>
      </c>
      <c r="B588" s="234"/>
      <c r="C588" s="249">
        <v>7.7387941306075209E-2</v>
      </c>
      <c r="D588" s="250">
        <v>4.3753445947999285E-2</v>
      </c>
      <c r="E588" s="250">
        <v>9.0220860613061268E-2</v>
      </c>
      <c r="F588" s="250">
        <v>9.7161449189902396E-2</v>
      </c>
      <c r="G588" s="250">
        <v>8.6226091450944134E-2</v>
      </c>
      <c r="H588" s="250">
        <v>0.11607355487639577</v>
      </c>
      <c r="I588" s="250">
        <v>0.86463989702893462</v>
      </c>
      <c r="J588" s="251">
        <v>8.7821204303920056E-2</v>
      </c>
      <c r="K588" s="249">
        <v>0.18120470405012915</v>
      </c>
      <c r="L588" s="250">
        <v>0.16943213509834071</v>
      </c>
      <c r="M588" s="250">
        <v>0.18143059967148997</v>
      </c>
      <c r="N588" s="250">
        <v>0.1851846291954016</v>
      </c>
      <c r="O588" s="249">
        <v>0.17484421666126165</v>
      </c>
      <c r="P588" s="249">
        <v>0.19076659041613475</v>
      </c>
      <c r="Q588" s="250">
        <v>8.1376441671393462E-2</v>
      </c>
      <c r="R588" s="252">
        <v>0.18818227903645188</v>
      </c>
      <c r="S588" s="15"/>
      <c r="T588" s="15"/>
      <c r="U588" s="15"/>
      <c r="V588" s="15"/>
    </row>
    <row r="589" spans="1:22">
      <c r="A589" s="253" t="s">
        <v>134</v>
      </c>
      <c r="B589" s="254"/>
      <c r="C589" s="255">
        <v>8.9961769945076986E-2</v>
      </c>
      <c r="D589" s="256">
        <v>5.6325897132656386E-2</v>
      </c>
      <c r="E589" s="256">
        <v>0.10481218377290163</v>
      </c>
      <c r="F589" s="256">
        <v>0.10747592047835401</v>
      </c>
      <c r="G589" s="256">
        <v>0.11123610957250527</v>
      </c>
      <c r="H589" s="256">
        <v>0.12295780825260616</v>
      </c>
      <c r="I589" s="256">
        <v>0.90899686446673489</v>
      </c>
      <c r="J589" s="257">
        <v>0.10200517263848038</v>
      </c>
      <c r="K589" s="255">
        <v>0.25985929305605715</v>
      </c>
      <c r="L589" s="256">
        <v>0.18745110610955035</v>
      </c>
      <c r="M589" s="256">
        <v>0.21736591089230251</v>
      </c>
      <c r="N589" s="256">
        <v>0.21830872558520009</v>
      </c>
      <c r="O589" s="255">
        <v>0.20463213770380068</v>
      </c>
      <c r="P589" s="255">
        <v>0.21470829621487914</v>
      </c>
      <c r="Q589" s="256">
        <v>0.12136925258254</v>
      </c>
      <c r="R589" s="258">
        <v>0.21252662495259705</v>
      </c>
      <c r="S589" s="15"/>
      <c r="T589" s="15"/>
      <c r="U589" s="15"/>
      <c r="V589" s="15"/>
    </row>
    <row r="590" spans="1:22">
      <c r="A590" s="253" t="s">
        <v>135</v>
      </c>
      <c r="B590" s="317"/>
      <c r="C590" s="318">
        <v>1.2573828639001778</v>
      </c>
      <c r="D590" s="319">
        <v>1.2572451184657101</v>
      </c>
      <c r="E590" s="319">
        <v>1.4591323159840366</v>
      </c>
      <c r="F590" s="319">
        <v>1.0314471288451617</v>
      </c>
      <c r="G590" s="319">
        <v>2.5010018121561131</v>
      </c>
      <c r="H590" s="319">
        <v>0.68842533762103897</v>
      </c>
      <c r="I590" s="319">
        <v>4.4356967437800261</v>
      </c>
      <c r="J590" s="320">
        <v>1.4183968334560328</v>
      </c>
      <c r="K590" s="318">
        <v>7.8654589005928006</v>
      </c>
      <c r="L590" s="319">
        <v>1.8018971011209639</v>
      </c>
      <c r="M590" s="319">
        <v>3.5935311220812531</v>
      </c>
      <c r="N590" s="319">
        <v>3.3124096389798492</v>
      </c>
      <c r="O590" s="318">
        <v>2.9787921042539023</v>
      </c>
      <c r="P590" s="321">
        <v>2.3941705798744382</v>
      </c>
      <c r="Q590" s="319">
        <v>3.9992810911146535</v>
      </c>
      <c r="R590" s="322">
        <v>2.4344345916145178</v>
      </c>
      <c r="S590" s="15"/>
      <c r="T590" s="15"/>
      <c r="U590" s="15"/>
      <c r="V590" s="15"/>
    </row>
    <row r="591" spans="1:22">
      <c r="A591" s="253" t="s">
        <v>136</v>
      </c>
      <c r="B591" s="234"/>
      <c r="C591" s="249">
        <v>2.1165633538706248E-3</v>
      </c>
      <c r="D591" s="250">
        <v>3.4908809905228291E-3</v>
      </c>
      <c r="E591" s="250">
        <v>4.8671411003671323E-3</v>
      </c>
      <c r="F591" s="250">
        <v>2.139764329914673E-3</v>
      </c>
      <c r="G591" s="250">
        <v>1.4131819672420718E-2</v>
      </c>
      <c r="H591" s="250">
        <v>8.1802994268559727E-3</v>
      </c>
      <c r="I591" s="250">
        <v>0</v>
      </c>
      <c r="J591" s="251">
        <v>3.8595482748584012E-3</v>
      </c>
      <c r="K591" s="249">
        <v>1.479184744295153E-3</v>
      </c>
      <c r="L591" s="250">
        <v>1.8364517894334464E-3</v>
      </c>
      <c r="M591" s="250">
        <v>1.8007002771407182E-2</v>
      </c>
      <c r="N591" s="250">
        <v>2.7530644290333608E-2</v>
      </c>
      <c r="O591" s="249">
        <v>7.8013072399764783E-3</v>
      </c>
      <c r="P591" s="249">
        <v>1.888386666369859E-3</v>
      </c>
      <c r="Q591" s="250">
        <v>0</v>
      </c>
      <c r="R591" s="252">
        <v>1.8437740645301007E-3</v>
      </c>
      <c r="S591" s="15"/>
      <c r="T591" s="15"/>
      <c r="U591" s="15"/>
      <c r="V591" s="15"/>
    </row>
    <row r="592" spans="1:22">
      <c r="A592" s="253" t="s">
        <v>137</v>
      </c>
      <c r="B592" s="254"/>
      <c r="C592" s="255">
        <v>1.9891040709782235E-3</v>
      </c>
      <c r="D592" s="256">
        <v>2.9953641724776684E-3</v>
      </c>
      <c r="E592" s="256">
        <v>5.9209181769083559E-3</v>
      </c>
      <c r="F592" s="256">
        <v>2.1439645422790293E-3</v>
      </c>
      <c r="G592" s="256">
        <v>1.517642609662275E-2</v>
      </c>
      <c r="H592" s="256">
        <v>7.1324010432661684E-3</v>
      </c>
      <c r="I592" s="256">
        <v>0</v>
      </c>
      <c r="J592" s="257">
        <v>4.0523233615959347E-3</v>
      </c>
      <c r="K592" s="255">
        <v>1.2371182084386651E-3</v>
      </c>
      <c r="L592" s="256">
        <v>9.005205044523341E-4</v>
      </c>
      <c r="M592" s="256">
        <v>1.778393108371459E-2</v>
      </c>
      <c r="N592" s="256">
        <v>2.390378843310003E-2</v>
      </c>
      <c r="O592" s="255">
        <v>6.7989057237327673E-3</v>
      </c>
      <c r="P592" s="255">
        <v>1.6250086248394404E-3</v>
      </c>
      <c r="Q592" s="256">
        <v>0</v>
      </c>
      <c r="R592" s="258">
        <v>1.587026292046988E-3</v>
      </c>
      <c r="S592" s="15"/>
      <c r="T592" s="15"/>
      <c r="U592" s="15"/>
      <c r="V592" s="15"/>
    </row>
    <row r="593" spans="1:22">
      <c r="A593" s="253" t="s">
        <v>138</v>
      </c>
      <c r="B593" s="317"/>
      <c r="C593" s="318">
        <v>-1.2745928289240125E-2</v>
      </c>
      <c r="D593" s="319">
        <v>-4.9551681804516079E-2</v>
      </c>
      <c r="E593" s="319">
        <v>0.10537770765412235</v>
      </c>
      <c r="F593" s="319">
        <v>4.2002123643563455E-4</v>
      </c>
      <c r="G593" s="319">
        <v>0.10446064242020311</v>
      </c>
      <c r="H593" s="319">
        <v>-0.10478983835898042</v>
      </c>
      <c r="I593" s="319">
        <v>0</v>
      </c>
      <c r="J593" s="320">
        <v>1.9277508673753344E-2</v>
      </c>
      <c r="K593" s="318">
        <v>-2.4206653585648785E-2</v>
      </c>
      <c r="L593" s="319">
        <v>-9.359312849811123E-2</v>
      </c>
      <c r="M593" s="319">
        <v>-2.2307168769259214E-2</v>
      </c>
      <c r="N593" s="319">
        <v>-0.36268558572335774</v>
      </c>
      <c r="O593" s="318">
        <v>-0.1002401516243711</v>
      </c>
      <c r="P593" s="321">
        <v>-2.6337804153041853E-2</v>
      </c>
      <c r="Q593" s="319">
        <v>0</v>
      </c>
      <c r="R593" s="322">
        <v>-2.5674777248311274E-2</v>
      </c>
      <c r="S593" s="15"/>
      <c r="T593" s="15"/>
      <c r="U593" s="15"/>
      <c r="V593" s="15"/>
    </row>
    <row r="594" spans="1:22">
      <c r="A594" s="253" t="s">
        <v>139</v>
      </c>
      <c r="B594" s="234"/>
      <c r="C594" s="249">
        <v>1.3455527780222402E-2</v>
      </c>
      <c r="D594" s="250">
        <v>6.592342723677299E-4</v>
      </c>
      <c r="E594" s="250">
        <v>4.6307193174712968E-3</v>
      </c>
      <c r="F594" s="250">
        <v>1.1852084577694752E-3</v>
      </c>
      <c r="G594" s="250">
        <v>4.5687840460426525E-3</v>
      </c>
      <c r="H594" s="250">
        <v>2.5612285431726034E-4</v>
      </c>
      <c r="I594" s="250">
        <v>0</v>
      </c>
      <c r="J594" s="251">
        <v>7.8400327956779821E-3</v>
      </c>
      <c r="K594" s="249">
        <v>3.603723327312694E-2</v>
      </c>
      <c r="L594" s="250">
        <v>1.833957842558907E-2</v>
      </c>
      <c r="M594" s="250">
        <v>1.0300230726900141E-2</v>
      </c>
      <c r="N594" s="250">
        <v>1.092902536472822E-2</v>
      </c>
      <c r="O594" s="249">
        <v>1.7613312728290111E-2</v>
      </c>
      <c r="P594" s="249">
        <v>0</v>
      </c>
      <c r="Q594" s="250">
        <v>0</v>
      </c>
      <c r="R594" s="252">
        <v>0</v>
      </c>
      <c r="S594" s="15"/>
      <c r="T594" s="15"/>
      <c r="U594" s="15"/>
      <c r="V594" s="15"/>
    </row>
    <row r="595" spans="1:22">
      <c r="A595" s="253" t="s">
        <v>140</v>
      </c>
      <c r="B595" s="254"/>
      <c r="C595" s="255">
        <v>9.1608164483151355E-3</v>
      </c>
      <c r="D595" s="256">
        <v>4.9831815001642353E-4</v>
      </c>
      <c r="E595" s="256">
        <v>5.7016759567183675E-3</v>
      </c>
      <c r="F595" s="256">
        <v>1.1937951851119712E-4</v>
      </c>
      <c r="G595" s="256">
        <v>2.5085854206378616E-3</v>
      </c>
      <c r="H595" s="256">
        <v>7.5221303146886178E-5</v>
      </c>
      <c r="I595" s="256">
        <v>0</v>
      </c>
      <c r="J595" s="257">
        <v>6.0048160230646314E-3</v>
      </c>
      <c r="K595" s="255">
        <v>3.0440429015767111E-2</v>
      </c>
      <c r="L595" s="256">
        <v>2.6566345916381771E-2</v>
      </c>
      <c r="M595" s="256">
        <v>1.0667160602258684E-2</v>
      </c>
      <c r="N595" s="256">
        <v>1.3625446060583375E-2</v>
      </c>
      <c r="O595" s="255">
        <v>2.2140128438169888E-2</v>
      </c>
      <c r="P595" s="255">
        <v>0</v>
      </c>
      <c r="Q595" s="256">
        <v>0</v>
      </c>
      <c r="R595" s="258">
        <v>0</v>
      </c>
      <c r="S595" s="15"/>
      <c r="T595" s="15"/>
      <c r="U595" s="15"/>
      <c r="V595" s="15"/>
    </row>
    <row r="596" spans="1:22">
      <c r="A596" s="253" t="s">
        <v>141</v>
      </c>
      <c r="B596" s="317"/>
      <c r="C596" s="318">
        <v>-0.42947113319072672</v>
      </c>
      <c r="D596" s="319">
        <v>-1.6091612235130639E-2</v>
      </c>
      <c r="E596" s="319">
        <v>0.10709566392470707</v>
      </c>
      <c r="F596" s="319">
        <v>-0.10658289392582782</v>
      </c>
      <c r="G596" s="319">
        <v>-0.2060198625404791</v>
      </c>
      <c r="H596" s="319">
        <v>-1.8090155117037418E-2</v>
      </c>
      <c r="I596" s="319">
        <v>0</v>
      </c>
      <c r="J596" s="320">
        <v>-0.18352167726133506</v>
      </c>
      <c r="K596" s="318">
        <v>-0.55968042573598287</v>
      </c>
      <c r="L596" s="319">
        <v>0.82267674907927013</v>
      </c>
      <c r="M596" s="319">
        <v>3.6692987535854281E-2</v>
      </c>
      <c r="N596" s="319">
        <v>0.26964206958551545</v>
      </c>
      <c r="O596" s="318">
        <v>0.45268157098797768</v>
      </c>
      <c r="P596" s="321">
        <v>0</v>
      </c>
      <c r="Q596" s="319">
        <v>0</v>
      </c>
      <c r="R596" s="322">
        <v>0</v>
      </c>
      <c r="S596" s="15"/>
      <c r="T596" s="15"/>
      <c r="U596" s="15"/>
      <c r="V596" s="15"/>
    </row>
    <row r="597" spans="1:22">
      <c r="A597" s="253" t="s">
        <v>142</v>
      </c>
      <c r="B597" s="234"/>
      <c r="C597" s="249">
        <v>4.4521966919853535E-4</v>
      </c>
      <c r="D597" s="250">
        <v>1.1113860633924191E-4</v>
      </c>
      <c r="E597" s="250">
        <v>8.6587729303773528E-4</v>
      </c>
      <c r="F597" s="250">
        <v>3.0538754030558685E-4</v>
      </c>
      <c r="G597" s="250">
        <v>6.6047306767468171E-5</v>
      </c>
      <c r="H597" s="250">
        <v>0</v>
      </c>
      <c r="I597" s="250">
        <v>0</v>
      </c>
      <c r="J597" s="251">
        <v>4.8730312147246541E-4</v>
      </c>
      <c r="K597" s="249">
        <v>5.729904412002133E-3</v>
      </c>
      <c r="L597" s="250">
        <v>6.3739461775876906E-4</v>
      </c>
      <c r="M597" s="250">
        <v>2.411219895028097E-4</v>
      </c>
      <c r="N597" s="250">
        <v>8.9702710878420531E-5</v>
      </c>
      <c r="O597" s="249">
        <v>1.024597568020637E-3</v>
      </c>
      <c r="P597" s="249">
        <v>0</v>
      </c>
      <c r="Q597" s="250">
        <v>0</v>
      </c>
      <c r="R597" s="252">
        <v>0</v>
      </c>
      <c r="S597" s="15"/>
      <c r="T597" s="15"/>
      <c r="U597" s="15"/>
      <c r="V597" s="15"/>
    </row>
    <row r="598" spans="1:22">
      <c r="A598" s="253" t="s">
        <v>143</v>
      </c>
      <c r="B598" s="254"/>
      <c r="C598" s="255">
        <v>9.046479301105454E-4</v>
      </c>
      <c r="D598" s="256">
        <v>8.3717449202759149E-5</v>
      </c>
      <c r="E598" s="256">
        <v>9.1110079075841554E-4</v>
      </c>
      <c r="F598" s="256">
        <v>2.3875903702239425E-4</v>
      </c>
      <c r="G598" s="256">
        <v>8.8623696906956577E-5</v>
      </c>
      <c r="H598" s="256">
        <v>0</v>
      </c>
      <c r="I598" s="256">
        <v>0</v>
      </c>
      <c r="J598" s="257">
        <v>7.0295885985869483E-4</v>
      </c>
      <c r="K598" s="255">
        <v>3.9848937904970452E-3</v>
      </c>
      <c r="L598" s="256">
        <v>1.1469578838805957E-4</v>
      </c>
      <c r="M598" s="256">
        <v>6.9712672541609119E-4</v>
      </c>
      <c r="N598" s="256">
        <v>1.2285159272501097E-5</v>
      </c>
      <c r="O598" s="255">
        <v>6.5099980064281461E-4</v>
      </c>
      <c r="P598" s="255">
        <v>0</v>
      </c>
      <c r="Q598" s="256">
        <v>0</v>
      </c>
      <c r="R598" s="258">
        <v>0</v>
      </c>
      <c r="S598" s="15"/>
      <c r="T598" s="15"/>
      <c r="U598" s="15"/>
      <c r="V598" s="15"/>
    </row>
    <row r="599" spans="1:22">
      <c r="A599" s="253" t="s">
        <v>144</v>
      </c>
      <c r="B599" s="317"/>
      <c r="C599" s="318">
        <v>4.5942826091201004E-2</v>
      </c>
      <c r="D599" s="319">
        <v>-2.7421157136482762E-3</v>
      </c>
      <c r="E599" s="319">
        <v>4.522349772068026E-3</v>
      </c>
      <c r="F599" s="319">
        <v>-6.6628503283192603E-3</v>
      </c>
      <c r="G599" s="319">
        <v>2.2576390139488404E-3</v>
      </c>
      <c r="H599" s="319">
        <v>0</v>
      </c>
      <c r="I599" s="319">
        <v>0</v>
      </c>
      <c r="J599" s="320">
        <v>2.1565573838622943E-2</v>
      </c>
      <c r="K599" s="318">
        <v>-0.17450106215050878</v>
      </c>
      <c r="L599" s="319">
        <v>-5.2269882937070952E-2</v>
      </c>
      <c r="M599" s="319">
        <v>4.5600473591328149E-2</v>
      </c>
      <c r="N599" s="319">
        <v>-7.7417551605919437E-3</v>
      </c>
      <c r="O599" s="318">
        <v>-3.7359776737782235E-2</v>
      </c>
      <c r="P599" s="321">
        <v>0</v>
      </c>
      <c r="Q599" s="319">
        <v>0</v>
      </c>
      <c r="R599" s="322">
        <v>0</v>
      </c>
      <c r="S599" s="15"/>
      <c r="T599" s="15"/>
      <c r="U599" s="15"/>
      <c r="V599" s="15"/>
    </row>
    <row r="600" spans="1:22">
      <c r="A600" s="253" t="s">
        <v>145</v>
      </c>
      <c r="B600" s="234"/>
      <c r="C600" s="249">
        <v>0.78569522026142291</v>
      </c>
      <c r="D600" s="250">
        <v>0.76696109269067725</v>
      </c>
      <c r="E600" s="250">
        <v>0.59271113329350966</v>
      </c>
      <c r="F600" s="250">
        <v>0.5478232299707213</v>
      </c>
      <c r="G600" s="250">
        <v>0.52121741460679172</v>
      </c>
      <c r="H600" s="250">
        <v>0.55184668105089474</v>
      </c>
      <c r="I600" s="250">
        <v>0</v>
      </c>
      <c r="J600" s="251">
        <v>0.70124096643334533</v>
      </c>
      <c r="K600" s="249">
        <v>0</v>
      </c>
      <c r="L600" s="250">
        <v>0</v>
      </c>
      <c r="M600" s="250">
        <v>0</v>
      </c>
      <c r="N600" s="250">
        <v>0</v>
      </c>
      <c r="O600" s="249">
        <v>0</v>
      </c>
      <c r="P600" s="249">
        <v>0</v>
      </c>
      <c r="Q600" s="250">
        <v>0</v>
      </c>
      <c r="R600" s="252">
        <v>0</v>
      </c>
      <c r="S600" s="15"/>
      <c r="T600" s="15"/>
      <c r="U600" s="15"/>
      <c r="V600" s="15"/>
    </row>
    <row r="601" spans="1:22">
      <c r="A601" s="253" t="s">
        <v>146</v>
      </c>
      <c r="B601" s="254"/>
      <c r="C601" s="255">
        <v>0.78208813589702608</v>
      </c>
      <c r="D601" s="256">
        <v>0.75858320976659521</v>
      </c>
      <c r="E601" s="256">
        <v>0.57080414196003926</v>
      </c>
      <c r="F601" s="256">
        <v>0.64327838335066423</v>
      </c>
      <c r="G601" s="256">
        <v>0.51002024291497972</v>
      </c>
      <c r="H601" s="256">
        <v>0.51688753371643015</v>
      </c>
      <c r="I601" s="256">
        <v>0</v>
      </c>
      <c r="J601" s="257">
        <v>0.6973900302994015</v>
      </c>
      <c r="K601" s="255">
        <v>0</v>
      </c>
      <c r="L601" s="256">
        <v>0</v>
      </c>
      <c r="M601" s="256">
        <v>0</v>
      </c>
      <c r="N601" s="256">
        <v>0</v>
      </c>
      <c r="O601" s="255">
        <v>0</v>
      </c>
      <c r="P601" s="255">
        <v>0</v>
      </c>
      <c r="Q601" s="256">
        <v>0</v>
      </c>
      <c r="R601" s="258">
        <v>0</v>
      </c>
      <c r="S601" s="15"/>
      <c r="T601" s="15"/>
      <c r="U601" s="15"/>
      <c r="V601" s="15"/>
    </row>
    <row r="602" spans="1:22">
      <c r="A602" s="253" t="s">
        <v>147</v>
      </c>
      <c r="B602" s="317"/>
      <c r="C602" s="318">
        <v>-0.36070843643968287</v>
      </c>
      <c r="D602" s="319">
        <v>-0.83778829240820363</v>
      </c>
      <c r="E602" s="319">
        <v>-2.1906991333470405</v>
      </c>
      <c r="F602" s="319">
        <v>9.5455153379942921</v>
      </c>
      <c r="G602" s="319">
        <v>-1.1197171691812002</v>
      </c>
      <c r="H602" s="319">
        <v>-3.4959147334464591</v>
      </c>
      <c r="I602" s="319">
        <v>0</v>
      </c>
      <c r="J602" s="320">
        <v>-0.38509361339438275</v>
      </c>
      <c r="K602" s="318">
        <v>0</v>
      </c>
      <c r="L602" s="319">
        <v>0</v>
      </c>
      <c r="M602" s="319">
        <v>0</v>
      </c>
      <c r="N602" s="319">
        <v>0</v>
      </c>
      <c r="O602" s="318">
        <v>0</v>
      </c>
      <c r="P602" s="321">
        <v>0</v>
      </c>
      <c r="Q602" s="319">
        <v>0</v>
      </c>
      <c r="R602" s="322">
        <v>0</v>
      </c>
      <c r="S602" s="15"/>
      <c r="T602" s="15"/>
      <c r="U602" s="15"/>
      <c r="V602" s="15"/>
    </row>
    <row r="603" spans="1:22">
      <c r="A603" s="253" t="s">
        <v>148</v>
      </c>
      <c r="B603" s="234"/>
      <c r="C603" s="249">
        <v>6.9117427436905257E-2</v>
      </c>
      <c r="D603" s="250">
        <v>8.006504970937843E-2</v>
      </c>
      <c r="E603" s="250">
        <v>0.10347150627899317</v>
      </c>
      <c r="F603" s="250">
        <v>7.4325841762044181E-2</v>
      </c>
      <c r="G603" s="250">
        <v>3.7100079897175807E-2</v>
      </c>
      <c r="H603" s="250">
        <v>0.15027287726868893</v>
      </c>
      <c r="I603" s="250">
        <v>0</v>
      </c>
      <c r="J603" s="251">
        <v>7.6240000948258724E-2</v>
      </c>
      <c r="K603" s="249">
        <v>0</v>
      </c>
      <c r="L603" s="250">
        <v>0</v>
      </c>
      <c r="M603" s="250">
        <v>0</v>
      </c>
      <c r="N603" s="250">
        <v>0</v>
      </c>
      <c r="O603" s="249">
        <v>0</v>
      </c>
      <c r="P603" s="249">
        <v>0</v>
      </c>
      <c r="Q603" s="250">
        <v>0</v>
      </c>
      <c r="R603" s="252">
        <v>0</v>
      </c>
      <c r="S603" s="15"/>
      <c r="T603" s="15"/>
      <c r="U603" s="15"/>
      <c r="V603" s="15"/>
    </row>
    <row r="604" spans="1:22">
      <c r="A604" s="253" t="s">
        <v>149</v>
      </c>
      <c r="B604" s="254"/>
      <c r="C604" s="255">
        <v>6.8428246498880685E-2</v>
      </c>
      <c r="D604" s="256">
        <v>7.458725715205991E-2</v>
      </c>
      <c r="E604" s="256">
        <v>9.5200349269850951E-2</v>
      </c>
      <c r="F604" s="256">
        <v>6.7251313151879613E-2</v>
      </c>
      <c r="G604" s="256">
        <v>3.9333911702332754E-2</v>
      </c>
      <c r="H604" s="256">
        <v>0.15527149055939957</v>
      </c>
      <c r="I604" s="256">
        <v>0</v>
      </c>
      <c r="J604" s="257">
        <v>7.2976924693605782E-2</v>
      </c>
      <c r="K604" s="255">
        <v>0</v>
      </c>
      <c r="L604" s="256">
        <v>0</v>
      </c>
      <c r="M604" s="256">
        <v>0</v>
      </c>
      <c r="N604" s="256">
        <v>0</v>
      </c>
      <c r="O604" s="255">
        <v>0</v>
      </c>
      <c r="P604" s="255">
        <v>0</v>
      </c>
      <c r="Q604" s="256">
        <v>0</v>
      </c>
      <c r="R604" s="258">
        <v>0</v>
      </c>
      <c r="S604" s="15"/>
      <c r="T604" s="15"/>
      <c r="U604" s="15"/>
      <c r="V604" s="15"/>
    </row>
    <row r="605" spans="1:22">
      <c r="A605" s="253" t="s">
        <v>150</v>
      </c>
      <c r="B605" s="317"/>
      <c r="C605" s="318">
        <v>-6.8918093802457225E-2</v>
      </c>
      <c r="D605" s="319">
        <v>-0.54777925573185193</v>
      </c>
      <c r="E605" s="319">
        <v>-0.8271157009142216</v>
      </c>
      <c r="F605" s="319">
        <v>-0.70745286101645677</v>
      </c>
      <c r="G605" s="319">
        <v>0.22338318051569467</v>
      </c>
      <c r="H605" s="319">
        <v>0.49986132907106351</v>
      </c>
      <c r="I605" s="319">
        <v>0</v>
      </c>
      <c r="J605" s="320">
        <v>-0.32630762546529413</v>
      </c>
      <c r="K605" s="318">
        <v>0</v>
      </c>
      <c r="L605" s="319">
        <v>0</v>
      </c>
      <c r="M605" s="319">
        <v>0</v>
      </c>
      <c r="N605" s="319">
        <v>0</v>
      </c>
      <c r="O605" s="318">
        <v>0</v>
      </c>
      <c r="P605" s="321">
        <v>0</v>
      </c>
      <c r="Q605" s="319">
        <v>0</v>
      </c>
      <c r="R605" s="322">
        <v>0</v>
      </c>
      <c r="S605" s="15"/>
      <c r="T605" s="15"/>
      <c r="U605" s="15"/>
      <c r="V605" s="15"/>
    </row>
    <row r="606" spans="1:22">
      <c r="A606" s="253" t="s">
        <v>151</v>
      </c>
      <c r="B606" s="234"/>
      <c r="C606" s="249">
        <v>0.11908149537569425</v>
      </c>
      <c r="D606" s="250">
        <v>0.14347433025494999</v>
      </c>
      <c r="E606" s="250">
        <v>0.25807735082976035</v>
      </c>
      <c r="F606" s="250">
        <v>0.36843725046579717</v>
      </c>
      <c r="G606" s="250">
        <v>0.39369457443588129</v>
      </c>
      <c r="H606" s="250">
        <v>0.26608706688666073</v>
      </c>
      <c r="I606" s="250">
        <v>1</v>
      </c>
      <c r="J606" s="251">
        <v>0.19450690540431481</v>
      </c>
      <c r="K606" s="249">
        <v>0</v>
      </c>
      <c r="L606" s="250">
        <v>0</v>
      </c>
      <c r="M606" s="250">
        <v>0</v>
      </c>
      <c r="N606" s="250">
        <v>0</v>
      </c>
      <c r="O606" s="249">
        <v>0</v>
      </c>
      <c r="P606" s="249">
        <v>0</v>
      </c>
      <c r="Q606" s="250">
        <v>0</v>
      </c>
      <c r="R606" s="252">
        <v>0</v>
      </c>
      <c r="S606" s="15"/>
      <c r="T606" s="15"/>
      <c r="U606" s="15"/>
      <c r="V606" s="15"/>
    </row>
    <row r="607" spans="1:22">
      <c r="A607" s="253" t="s">
        <v>152</v>
      </c>
      <c r="B607" s="254"/>
      <c r="C607" s="255">
        <v>0.13448655111287725</v>
      </c>
      <c r="D607" s="256">
        <v>0.16128972234858716</v>
      </c>
      <c r="E607" s="256">
        <v>0.31013936212864412</v>
      </c>
      <c r="F607" s="256">
        <v>0.27564918302198244</v>
      </c>
      <c r="G607" s="256">
        <v>0.4053595527279738</v>
      </c>
      <c r="H607" s="256">
        <v>0.31922129705640906</v>
      </c>
      <c r="I607" s="256">
        <v>1</v>
      </c>
      <c r="J607" s="257">
        <v>0.21314922298381025</v>
      </c>
      <c r="K607" s="255">
        <v>0</v>
      </c>
      <c r="L607" s="256">
        <v>0</v>
      </c>
      <c r="M607" s="256">
        <v>0</v>
      </c>
      <c r="N607" s="256">
        <v>0</v>
      </c>
      <c r="O607" s="255">
        <v>0</v>
      </c>
      <c r="P607" s="255">
        <v>0</v>
      </c>
      <c r="Q607" s="256">
        <v>0</v>
      </c>
      <c r="R607" s="258">
        <v>0</v>
      </c>
      <c r="S607" s="15"/>
      <c r="T607" s="15"/>
      <c r="U607" s="15"/>
      <c r="V607" s="15"/>
    </row>
    <row r="608" spans="1:22">
      <c r="A608" s="253" t="s">
        <v>153</v>
      </c>
      <c r="B608" s="317"/>
      <c r="C608" s="318">
        <v>1.5405055737182995</v>
      </c>
      <c r="D608" s="319">
        <v>1.7815392093637166</v>
      </c>
      <c r="E608" s="319">
        <v>5.2062011298883775</v>
      </c>
      <c r="F608" s="319">
        <v>-9.2788067443814732</v>
      </c>
      <c r="G608" s="319">
        <v>1.1664978292092509</v>
      </c>
      <c r="H608" s="319">
        <v>5.3134230169748333</v>
      </c>
      <c r="I608" s="319">
        <v>0</v>
      </c>
      <c r="J608" s="320">
        <v>1.8642317579495442</v>
      </c>
      <c r="K608" s="318">
        <v>0</v>
      </c>
      <c r="L608" s="319">
        <v>0</v>
      </c>
      <c r="M608" s="319">
        <v>0</v>
      </c>
      <c r="N608" s="319">
        <v>0</v>
      </c>
      <c r="O608" s="318">
        <v>0</v>
      </c>
      <c r="P608" s="321">
        <v>0</v>
      </c>
      <c r="Q608" s="319">
        <v>0</v>
      </c>
      <c r="R608" s="322">
        <v>0</v>
      </c>
      <c r="S608" s="15"/>
      <c r="T608" s="15"/>
      <c r="U608" s="15"/>
      <c r="V608" s="15"/>
    </row>
    <row r="609" spans="1:22">
      <c r="A609" s="253" t="s">
        <v>154</v>
      </c>
      <c r="B609" s="234"/>
      <c r="C609" s="249">
        <v>5.8457802621130796E-3</v>
      </c>
      <c r="D609" s="250">
        <v>3.8083225970361369E-3</v>
      </c>
      <c r="E609" s="250">
        <v>8.5735451620071457E-3</v>
      </c>
      <c r="F609" s="250">
        <v>7.5546479904178869E-3</v>
      </c>
      <c r="G609" s="250">
        <v>4.3357864909259636E-2</v>
      </c>
      <c r="H609" s="250">
        <v>2.7033887549181367E-2</v>
      </c>
      <c r="I609" s="250">
        <v>0</v>
      </c>
      <c r="J609" s="251">
        <v>7.2335199904666686E-3</v>
      </c>
      <c r="K609" s="249">
        <v>0</v>
      </c>
      <c r="L609" s="250">
        <v>0</v>
      </c>
      <c r="M609" s="250">
        <v>0</v>
      </c>
      <c r="N609" s="250">
        <v>0</v>
      </c>
      <c r="O609" s="249">
        <v>0</v>
      </c>
      <c r="P609" s="249">
        <v>0</v>
      </c>
      <c r="Q609" s="250">
        <v>0</v>
      </c>
      <c r="R609" s="252">
        <v>0</v>
      </c>
      <c r="S609" s="15"/>
      <c r="T609" s="15"/>
      <c r="U609" s="15"/>
      <c r="V609" s="15"/>
    </row>
    <row r="610" spans="1:22">
      <c r="A610" s="253" t="s">
        <v>155</v>
      </c>
      <c r="B610" s="254"/>
      <c r="C610" s="255">
        <v>5.6590911019316079E-3</v>
      </c>
      <c r="D610" s="256">
        <v>2.8077613813467374E-3</v>
      </c>
      <c r="E610" s="256">
        <v>8.0060819638648351E-3</v>
      </c>
      <c r="F610" s="256">
        <v>1.3302404273833677E-2</v>
      </c>
      <c r="G610" s="256">
        <v>4.1064198958935802E-2</v>
      </c>
      <c r="H610" s="256">
        <v>8.2678550486689345E-3</v>
      </c>
      <c r="I610" s="256">
        <v>0</v>
      </c>
      <c r="J610" s="257">
        <v>7.1110623162941641E-3</v>
      </c>
      <c r="K610" s="255">
        <v>0</v>
      </c>
      <c r="L610" s="256">
        <v>0</v>
      </c>
      <c r="M610" s="256">
        <v>0</v>
      </c>
      <c r="N610" s="256">
        <v>0</v>
      </c>
      <c r="O610" s="255">
        <v>0</v>
      </c>
      <c r="P610" s="255">
        <v>0</v>
      </c>
      <c r="Q610" s="256">
        <v>0</v>
      </c>
      <c r="R610" s="258">
        <v>0</v>
      </c>
      <c r="S610" s="15"/>
      <c r="T610" s="15"/>
      <c r="U610" s="15"/>
      <c r="V610" s="15"/>
    </row>
    <row r="611" spans="1:22">
      <c r="A611" s="253" t="s">
        <v>156</v>
      </c>
      <c r="B611" s="317"/>
      <c r="C611" s="318">
        <v>-1.8668916018147168E-2</v>
      </c>
      <c r="D611" s="319">
        <v>-0.10005612156893996</v>
      </c>
      <c r="E611" s="319">
        <v>-5.6746319814231054E-2</v>
      </c>
      <c r="F611" s="319">
        <v>0.57477562834157891</v>
      </c>
      <c r="G611" s="319">
        <v>-0.22936659503238338</v>
      </c>
      <c r="H611" s="319">
        <v>-1.8766032500512433</v>
      </c>
      <c r="I611" s="319">
        <v>0</v>
      </c>
      <c r="J611" s="320">
        <v>-1.2245767417250458E-2</v>
      </c>
      <c r="K611" s="318">
        <v>0</v>
      </c>
      <c r="L611" s="319">
        <v>0</v>
      </c>
      <c r="M611" s="319">
        <v>0</v>
      </c>
      <c r="N611" s="319">
        <v>0</v>
      </c>
      <c r="O611" s="318">
        <v>0</v>
      </c>
      <c r="P611" s="321">
        <v>0</v>
      </c>
      <c r="Q611" s="319">
        <v>0</v>
      </c>
      <c r="R611" s="322">
        <v>0</v>
      </c>
      <c r="S611" s="15"/>
      <c r="T611" s="15"/>
      <c r="U611" s="15"/>
      <c r="V611" s="15"/>
    </row>
    <row r="612" spans="1:22">
      <c r="A612" s="253" t="s">
        <v>157</v>
      </c>
      <c r="B612" s="234"/>
      <c r="C612" s="249">
        <v>1.8879292827466004E-2</v>
      </c>
      <c r="D612" s="250">
        <v>1.8158205948617951E-3</v>
      </c>
      <c r="E612" s="250">
        <v>3.2249586628777346E-2</v>
      </c>
      <c r="F612" s="250">
        <v>1.8590298110194303E-3</v>
      </c>
      <c r="G612" s="250">
        <v>4.6300661508915236E-3</v>
      </c>
      <c r="H612" s="250">
        <v>4.7594872445741844E-3</v>
      </c>
      <c r="I612" s="250">
        <v>0</v>
      </c>
      <c r="J612" s="251">
        <v>1.8494527593215522E-2</v>
      </c>
      <c r="K612" s="249">
        <v>0</v>
      </c>
      <c r="L612" s="250">
        <v>0</v>
      </c>
      <c r="M612" s="250">
        <v>0</v>
      </c>
      <c r="N612" s="250">
        <v>0</v>
      </c>
      <c r="O612" s="249">
        <v>0</v>
      </c>
      <c r="P612" s="249">
        <v>0</v>
      </c>
      <c r="Q612" s="250">
        <v>0</v>
      </c>
      <c r="R612" s="252">
        <v>0</v>
      </c>
      <c r="S612" s="15"/>
      <c r="T612" s="15"/>
      <c r="U612" s="15"/>
      <c r="V612" s="15"/>
    </row>
    <row r="613" spans="1:22">
      <c r="A613" s="253" t="s">
        <v>158</v>
      </c>
      <c r="B613" s="254"/>
      <c r="C613" s="255">
        <v>7.3519572398890731E-3</v>
      </c>
      <c r="D613" s="256">
        <v>1.8555863607986208E-3</v>
      </c>
      <c r="E613" s="256">
        <v>1.2316301024791459E-2</v>
      </c>
      <c r="F613" s="256">
        <v>5.1871620164001579E-4</v>
      </c>
      <c r="G613" s="256">
        <v>4.2220936957779063E-3</v>
      </c>
      <c r="H613" s="256">
        <v>3.5182361909229508E-4</v>
      </c>
      <c r="I613" s="256">
        <v>0</v>
      </c>
      <c r="J613" s="257">
        <v>7.3419761041497974E-3</v>
      </c>
      <c r="K613" s="255">
        <v>0</v>
      </c>
      <c r="L613" s="256">
        <v>0</v>
      </c>
      <c r="M613" s="256">
        <v>0</v>
      </c>
      <c r="N613" s="256">
        <v>0</v>
      </c>
      <c r="O613" s="255">
        <v>0</v>
      </c>
      <c r="P613" s="255">
        <v>0</v>
      </c>
      <c r="Q613" s="256">
        <v>0</v>
      </c>
      <c r="R613" s="258">
        <v>0</v>
      </c>
      <c r="S613" s="15"/>
      <c r="T613" s="15"/>
      <c r="U613" s="15"/>
      <c r="V613" s="15"/>
    </row>
    <row r="614" spans="1:22">
      <c r="A614" s="253" t="s">
        <v>159</v>
      </c>
      <c r="B614" s="317"/>
      <c r="C614" s="318">
        <v>-1.152733558757693</v>
      </c>
      <c r="D614" s="319">
        <v>3.9765765936825665E-3</v>
      </c>
      <c r="E614" s="319">
        <v>-1.9933285603985889</v>
      </c>
      <c r="F614" s="319">
        <v>-0.13403136093794146</v>
      </c>
      <c r="G614" s="319">
        <v>-4.0797245511361727E-2</v>
      </c>
      <c r="H614" s="319">
        <v>-0.44076636254818896</v>
      </c>
      <c r="I614" s="319">
        <v>0</v>
      </c>
      <c r="J614" s="320">
        <v>-1.1152551489065725</v>
      </c>
      <c r="K614" s="318">
        <v>0</v>
      </c>
      <c r="L614" s="319">
        <v>0</v>
      </c>
      <c r="M614" s="319">
        <v>0</v>
      </c>
      <c r="N614" s="319">
        <v>0</v>
      </c>
      <c r="O614" s="318">
        <v>0</v>
      </c>
      <c r="P614" s="321">
        <v>0</v>
      </c>
      <c r="Q614" s="319">
        <v>0</v>
      </c>
      <c r="R614" s="322">
        <v>0</v>
      </c>
      <c r="S614" s="15"/>
      <c r="T614" s="15"/>
      <c r="U614" s="15"/>
      <c r="V614" s="15"/>
    </row>
    <row r="615" spans="1:22">
      <c r="A615" s="253" t="s">
        <v>160</v>
      </c>
      <c r="B615" s="234"/>
      <c r="C615" s="249">
        <v>1.3807838363983247E-3</v>
      </c>
      <c r="D615" s="250">
        <v>3.8753841530963741E-3</v>
      </c>
      <c r="E615" s="250">
        <v>4.9168778069523236E-3</v>
      </c>
      <c r="F615" s="250">
        <v>0</v>
      </c>
      <c r="G615" s="250">
        <v>0</v>
      </c>
      <c r="H615" s="250">
        <v>0</v>
      </c>
      <c r="I615" s="250">
        <v>0</v>
      </c>
      <c r="J615" s="251">
        <v>2.2840796303990009E-3</v>
      </c>
      <c r="K615" s="249">
        <v>0</v>
      </c>
      <c r="L615" s="250">
        <v>0</v>
      </c>
      <c r="M615" s="250">
        <v>0</v>
      </c>
      <c r="N615" s="250">
        <v>0</v>
      </c>
      <c r="O615" s="249">
        <v>0</v>
      </c>
      <c r="P615" s="249">
        <v>0</v>
      </c>
      <c r="Q615" s="250">
        <v>0</v>
      </c>
      <c r="R615" s="252">
        <v>0</v>
      </c>
      <c r="S615" s="15"/>
      <c r="T615" s="15"/>
      <c r="U615" s="15"/>
      <c r="V615" s="15"/>
    </row>
    <row r="616" spans="1:22">
      <c r="A616" s="253" t="s">
        <v>161</v>
      </c>
      <c r="B616" s="254"/>
      <c r="C616" s="255">
        <v>1.9860181493952323E-3</v>
      </c>
      <c r="D616" s="256">
        <v>8.7646299061234991E-4</v>
      </c>
      <c r="E616" s="256">
        <v>3.5337636528093423E-3</v>
      </c>
      <c r="F616" s="256">
        <v>0</v>
      </c>
      <c r="G616" s="256">
        <v>0</v>
      </c>
      <c r="H616" s="256">
        <v>0</v>
      </c>
      <c r="I616" s="256">
        <v>0</v>
      </c>
      <c r="J616" s="257">
        <v>2.0307836027383896E-3</v>
      </c>
      <c r="K616" s="255">
        <v>0</v>
      </c>
      <c r="L616" s="256">
        <v>0</v>
      </c>
      <c r="M616" s="256">
        <v>0</v>
      </c>
      <c r="N616" s="256">
        <v>0</v>
      </c>
      <c r="O616" s="255">
        <v>0</v>
      </c>
      <c r="P616" s="255">
        <v>0</v>
      </c>
      <c r="Q616" s="256">
        <v>0</v>
      </c>
      <c r="R616" s="258">
        <v>0</v>
      </c>
      <c r="S616" s="15"/>
      <c r="T616" s="15"/>
      <c r="U616" s="15"/>
      <c r="V616" s="15"/>
    </row>
    <row r="617" spans="1:22">
      <c r="A617" s="260" t="s">
        <v>162</v>
      </c>
      <c r="B617" s="317"/>
      <c r="C617" s="318">
        <v>6.0523431299690754E-2</v>
      </c>
      <c r="D617" s="319">
        <v>-0.29989211624840245</v>
      </c>
      <c r="E617" s="319">
        <v>-0.13831141541429814</v>
      </c>
      <c r="F617" s="319">
        <v>0</v>
      </c>
      <c r="G617" s="319">
        <v>0</v>
      </c>
      <c r="H617" s="319">
        <v>0</v>
      </c>
      <c r="I617" s="319">
        <v>0</v>
      </c>
      <c r="J617" s="320">
        <v>-2.5329602766061131E-2</v>
      </c>
      <c r="K617" s="318">
        <v>0</v>
      </c>
      <c r="L617" s="319">
        <v>0</v>
      </c>
      <c r="M617" s="319">
        <v>0</v>
      </c>
      <c r="N617" s="319">
        <v>0</v>
      </c>
      <c r="O617" s="318">
        <v>0</v>
      </c>
      <c r="P617" s="321">
        <v>0</v>
      </c>
      <c r="Q617" s="319">
        <v>0</v>
      </c>
      <c r="R617" s="322">
        <v>0</v>
      </c>
      <c r="S617" s="15"/>
      <c r="T617" s="15"/>
      <c r="U617" s="15"/>
      <c r="V617" s="15"/>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sheetPr>
  <dimension ref="A1:AG567"/>
  <sheetViews>
    <sheetView zoomScale="80" zoomScaleNormal="80" workbookViewId="0">
      <pane xSplit="5" ySplit="6" topLeftCell="F277" activePane="bottomRight" state="frozen"/>
      <selection pane="topRight" activeCell="F1" sqref="F1"/>
      <selection pane="bottomLeft" activeCell="A7" sqref="A7"/>
      <selection pane="bottomRight" activeCell="O155" sqref="O155:P170"/>
    </sheetView>
  </sheetViews>
  <sheetFormatPr defaultRowHeight="12.75"/>
  <cols>
    <col min="1" max="1" width="6.42578125" style="10" customWidth="1"/>
    <col min="2" max="2" width="14.85546875" style="11" customWidth="1"/>
    <col min="3" max="3" width="9.140625" style="11" customWidth="1"/>
    <col min="4" max="4" width="10.140625" style="10" customWidth="1"/>
    <col min="5" max="5" width="6.7109375" style="10" customWidth="1"/>
    <col min="6" max="6" width="9.85546875" style="9" customWidth="1"/>
    <col min="7" max="7" width="9.85546875" style="12" customWidth="1"/>
    <col min="8" max="8" width="11.28515625" style="9" customWidth="1"/>
    <col min="9" max="9" width="11.28515625" style="12" customWidth="1"/>
    <col min="10" max="11" width="10.7109375" style="9" customWidth="1"/>
    <col min="12" max="12" width="10.5703125" style="9" customWidth="1"/>
    <col min="13" max="13" width="13.5703125" style="13" customWidth="1"/>
    <col min="14" max="14" width="10.5703125" style="13" customWidth="1"/>
    <col min="15" max="15" width="9.85546875" style="13" customWidth="1"/>
    <col min="16" max="16" width="11.5703125" style="9" customWidth="1"/>
    <col min="17" max="17" width="12.140625" style="12" customWidth="1"/>
    <col min="18" max="18" width="9.5703125" style="9" customWidth="1"/>
    <col min="19" max="19" width="9.5703125" style="12" customWidth="1"/>
    <col min="20" max="20" width="10.85546875" style="9" customWidth="1"/>
    <col min="21" max="21" width="10.85546875" style="12" customWidth="1"/>
    <col min="22" max="22" width="10.5703125" style="9" customWidth="1"/>
    <col min="23" max="23" width="10.5703125" style="12" customWidth="1"/>
    <col min="24" max="25" width="10.28515625" style="9" customWidth="1"/>
    <col min="26" max="26" width="8.7109375" style="9" customWidth="1"/>
    <col min="27" max="27" width="11.42578125" style="13" customWidth="1"/>
    <col min="28" max="28" width="12.42578125" style="13" customWidth="1"/>
    <col min="29" max="29" width="10.140625" style="13" customWidth="1"/>
    <col min="30" max="30" width="11.7109375" style="9" customWidth="1"/>
    <col min="31" max="31" width="12.28515625" style="12" customWidth="1"/>
    <col min="32" max="33" width="8.7109375" style="9" customWidth="1"/>
    <col min="34" max="16384" width="9.140625" style="9"/>
  </cols>
  <sheetData>
    <row r="1" spans="1:33" s="1" customFormat="1">
      <c r="A1" s="333"/>
      <c r="B1" s="334"/>
      <c r="C1" s="334"/>
      <c r="D1" s="335"/>
      <c r="E1" s="333"/>
      <c r="F1" s="307">
        <f t="shared" ref="F1" si="0">SUM(H1,J1,L1,M1,N1,R1)</f>
        <v>0</v>
      </c>
      <c r="G1" s="308">
        <f>SUM(I1,K1,O1,P1,Q1,S1)</f>
        <v>0</v>
      </c>
      <c r="H1" s="335"/>
      <c r="I1" s="335"/>
      <c r="J1" s="335"/>
      <c r="K1" s="335"/>
      <c r="L1" s="335"/>
      <c r="M1" s="335"/>
      <c r="N1" s="335"/>
      <c r="O1" s="335"/>
      <c r="P1" s="335"/>
      <c r="Q1" s="335"/>
      <c r="R1" s="335"/>
      <c r="S1" s="335"/>
      <c r="T1" s="309">
        <f t="shared" ref="T1" si="1">SUM(V1,X1,Z1,AA1,AB1,AF1)</f>
        <v>0</v>
      </c>
      <c r="U1" s="310">
        <f t="shared" ref="U1" si="2">SUM(W1,Y1,AC1,AD1,AE1,AG1)</f>
        <v>0</v>
      </c>
      <c r="V1" s="335"/>
      <c r="W1" s="335"/>
      <c r="X1" s="335"/>
      <c r="Y1" s="335"/>
      <c r="Z1" s="335"/>
      <c r="AA1" s="335"/>
      <c r="AB1" s="335"/>
      <c r="AC1" s="335"/>
      <c r="AD1" s="335"/>
      <c r="AE1" s="335"/>
      <c r="AF1" s="335"/>
      <c r="AG1" s="335"/>
    </row>
    <row r="2" spans="1:33" s="1" customFormat="1" ht="18.75" thickBot="1">
      <c r="A2" s="336" t="s">
        <v>291</v>
      </c>
      <c r="B2" s="336"/>
      <c r="C2" s="336"/>
      <c r="D2" s="336"/>
      <c r="E2" s="336"/>
      <c r="F2" s="342" t="s">
        <v>0</v>
      </c>
      <c r="G2" s="299"/>
      <c r="H2" s="299"/>
      <c r="I2" s="299"/>
      <c r="J2" s="299"/>
      <c r="K2" s="299"/>
      <c r="L2" s="299"/>
      <c r="M2" s="299"/>
      <c r="N2" s="300"/>
      <c r="O2" s="299"/>
      <c r="P2" s="299"/>
      <c r="Q2" s="299"/>
      <c r="R2" s="301"/>
      <c r="S2" s="299"/>
      <c r="T2" s="342" t="s">
        <v>1</v>
      </c>
      <c r="U2" s="299"/>
      <c r="V2" s="299"/>
      <c r="W2" s="299"/>
      <c r="X2" s="299"/>
      <c r="Y2" s="299"/>
      <c r="Z2" s="299"/>
      <c r="AA2" s="299"/>
      <c r="AB2" s="300"/>
      <c r="AC2" s="299"/>
      <c r="AD2" s="299"/>
      <c r="AE2" s="299"/>
      <c r="AF2" s="343"/>
      <c r="AG2" s="299"/>
    </row>
    <row r="3" spans="1:33" s="1" customFormat="1" ht="12.75" customHeight="1" thickTop="1">
      <c r="A3" s="337" t="s">
        <v>288</v>
      </c>
      <c r="B3" s="338"/>
      <c r="C3" s="338"/>
      <c r="D3" s="338"/>
      <c r="E3" s="338"/>
      <c r="F3" s="2" t="s">
        <v>2</v>
      </c>
      <c r="G3" s="3"/>
      <c r="H3" s="295"/>
      <c r="I3" s="344"/>
      <c r="J3" s="295"/>
      <c r="K3" s="345"/>
      <c r="L3" s="294" t="s">
        <v>3</v>
      </c>
      <c r="M3" s="296"/>
      <c r="N3" s="297"/>
      <c r="O3" s="4"/>
      <c r="P3" s="5"/>
      <c r="Q3" s="5"/>
      <c r="R3" s="346"/>
      <c r="S3" s="345"/>
      <c r="T3" s="2" t="s">
        <v>2</v>
      </c>
      <c r="U3" s="3"/>
      <c r="V3" s="295"/>
      <c r="W3" s="345"/>
      <c r="X3" s="295"/>
      <c r="Y3" s="345"/>
      <c r="Z3" s="294" t="s">
        <v>3</v>
      </c>
      <c r="AA3" s="296"/>
      <c r="AB3" s="297"/>
      <c r="AC3" s="304"/>
      <c r="AD3" s="305"/>
      <c r="AE3" s="305"/>
      <c r="AF3" s="346"/>
      <c r="AG3" s="345"/>
    </row>
    <row r="4" spans="1:33" s="1" customFormat="1" ht="127.5">
      <c r="A4" s="339" t="s">
        <v>289</v>
      </c>
      <c r="B4" s="340"/>
      <c r="C4" s="340"/>
      <c r="D4" s="340"/>
      <c r="E4" s="340"/>
      <c r="F4" s="291" t="s">
        <v>292</v>
      </c>
      <c r="G4" s="292"/>
      <c r="H4" s="666" t="s">
        <v>239</v>
      </c>
      <c r="I4" s="667"/>
      <c r="J4" s="294" t="s">
        <v>240</v>
      </c>
      <c r="K4" s="293"/>
      <c r="L4" s="306" t="s">
        <v>7</v>
      </c>
      <c r="M4" s="306" t="s">
        <v>241</v>
      </c>
      <c r="N4" s="302" t="s">
        <v>242</v>
      </c>
      <c r="O4" s="298" t="s">
        <v>7</v>
      </c>
      <c r="P4" s="298" t="s">
        <v>241</v>
      </c>
      <c r="Q4" s="298" t="s">
        <v>243</v>
      </c>
      <c r="R4" s="303" t="s">
        <v>244</v>
      </c>
      <c r="S4" s="293"/>
      <c r="T4" s="291" t="s">
        <v>245</v>
      </c>
      <c r="U4" s="292"/>
      <c r="V4" s="294" t="s">
        <v>239</v>
      </c>
      <c r="W4" s="293"/>
      <c r="X4" s="294" t="s">
        <v>240</v>
      </c>
      <c r="Y4" s="293"/>
      <c r="Z4" s="306" t="s">
        <v>7</v>
      </c>
      <c r="AA4" s="306" t="s">
        <v>241</v>
      </c>
      <c r="AB4" s="302" t="s">
        <v>242</v>
      </c>
      <c r="AC4" s="298" t="s">
        <v>7</v>
      </c>
      <c r="AD4" s="298" t="s">
        <v>241</v>
      </c>
      <c r="AE4" s="298" t="s">
        <v>243</v>
      </c>
      <c r="AF4" s="303" t="s">
        <v>244</v>
      </c>
      <c r="AG4" s="293"/>
    </row>
    <row r="5" spans="1:33" s="290" customFormat="1" ht="38.25" customHeight="1" thickBot="1">
      <c r="A5" s="282" t="s">
        <v>4</v>
      </c>
      <c r="B5" s="283" t="s">
        <v>5</v>
      </c>
      <c r="C5" s="341" t="s">
        <v>290</v>
      </c>
      <c r="D5" s="284" t="s">
        <v>238</v>
      </c>
      <c r="E5" s="285" t="s">
        <v>6</v>
      </c>
      <c r="F5" s="286">
        <v>2010</v>
      </c>
      <c r="G5" s="287">
        <v>2011</v>
      </c>
      <c r="H5" s="288">
        <v>2010</v>
      </c>
      <c r="I5" s="289">
        <v>2011</v>
      </c>
      <c r="J5" s="288">
        <v>2010</v>
      </c>
      <c r="K5" s="289">
        <v>2011</v>
      </c>
      <c r="L5" s="288">
        <v>2010</v>
      </c>
      <c r="M5" s="288">
        <v>2010</v>
      </c>
      <c r="N5" s="288">
        <v>2010</v>
      </c>
      <c r="O5" s="289">
        <v>2011</v>
      </c>
      <c r="P5" s="289">
        <v>2011</v>
      </c>
      <c r="Q5" s="289">
        <v>2011</v>
      </c>
      <c r="R5" s="288">
        <v>2010</v>
      </c>
      <c r="S5" s="289">
        <v>2011</v>
      </c>
      <c r="T5" s="286">
        <v>2010</v>
      </c>
      <c r="U5" s="287">
        <v>2011</v>
      </c>
      <c r="V5" s="288">
        <v>2010</v>
      </c>
      <c r="W5" s="289">
        <v>2011</v>
      </c>
      <c r="X5" s="288">
        <v>2010</v>
      </c>
      <c r="Y5" s="289">
        <v>2011</v>
      </c>
      <c r="Z5" s="288">
        <v>2010</v>
      </c>
      <c r="AA5" s="288">
        <v>2010</v>
      </c>
      <c r="AB5" s="288">
        <v>2010</v>
      </c>
      <c r="AC5" s="289">
        <v>2011</v>
      </c>
      <c r="AD5" s="289">
        <v>2011</v>
      </c>
      <c r="AE5" s="289">
        <v>2011</v>
      </c>
      <c r="AF5" s="288">
        <v>2010</v>
      </c>
      <c r="AG5" s="289">
        <v>2011</v>
      </c>
    </row>
    <row r="6" spans="1:33" s="1" customFormat="1" ht="30" hidden="1" customHeight="1" thickTop="1">
      <c r="A6" s="6" t="s">
        <v>4</v>
      </c>
      <c r="B6" s="7" t="s">
        <v>5</v>
      </c>
      <c r="C6" s="7" t="s">
        <v>246</v>
      </c>
      <c r="D6" s="6" t="s">
        <v>8</v>
      </c>
      <c r="E6" s="6" t="s">
        <v>9</v>
      </c>
      <c r="F6" s="8" t="s">
        <v>10</v>
      </c>
      <c r="G6" s="8" t="s">
        <v>11</v>
      </c>
      <c r="H6" s="8" t="s">
        <v>12</v>
      </c>
      <c r="I6" s="8" t="s">
        <v>13</v>
      </c>
      <c r="J6" s="8" t="s">
        <v>14</v>
      </c>
      <c r="K6" s="8" t="s">
        <v>15</v>
      </c>
      <c r="L6" s="8" t="s">
        <v>16</v>
      </c>
      <c r="M6" s="8" t="s">
        <v>17</v>
      </c>
      <c r="N6" s="8" t="s">
        <v>18</v>
      </c>
      <c r="O6" s="8" t="s">
        <v>19</v>
      </c>
      <c r="P6" s="8" t="s">
        <v>20</v>
      </c>
      <c r="Q6" s="8" t="s">
        <v>21</v>
      </c>
      <c r="R6" s="8" t="s">
        <v>22</v>
      </c>
      <c r="S6" s="8" t="s">
        <v>23</v>
      </c>
      <c r="T6" s="8" t="s">
        <v>24</v>
      </c>
      <c r="U6" s="8" t="s">
        <v>25</v>
      </c>
      <c r="V6" s="8" t="s">
        <v>26</v>
      </c>
      <c r="W6" s="8" t="s">
        <v>27</v>
      </c>
      <c r="X6" s="8" t="s">
        <v>28</v>
      </c>
      <c r="Y6" s="8" t="s">
        <v>29</v>
      </c>
      <c r="Z6" s="8" t="s">
        <v>30</v>
      </c>
      <c r="AA6" s="8" t="s">
        <v>31</v>
      </c>
      <c r="AB6" s="8" t="s">
        <v>32</v>
      </c>
      <c r="AC6" s="8" t="s">
        <v>33</v>
      </c>
      <c r="AD6" s="8" t="s">
        <v>34</v>
      </c>
      <c r="AE6" s="8" t="s">
        <v>35</v>
      </c>
      <c r="AF6" s="8" t="s">
        <v>36</v>
      </c>
      <c r="AG6" s="8" t="s">
        <v>37</v>
      </c>
    </row>
    <row r="7" spans="1:33" ht="15" customHeight="1" thickTop="1">
      <c r="A7" s="353" t="s">
        <v>38</v>
      </c>
      <c r="B7" s="354" t="s">
        <v>299</v>
      </c>
      <c r="C7" s="355"/>
      <c r="D7" s="356">
        <v>100858</v>
      </c>
      <c r="E7" s="353">
        <v>1</v>
      </c>
      <c r="F7" s="571">
        <f t="shared" ref="F7:F70" si="3">SUM(H7,J7,L7,M7,N7,R7)</f>
        <v>585421</v>
      </c>
      <c r="G7" s="555">
        <f t="shared" ref="G7:G70" si="4">SUM(I7,K7,O7,P7,Q7,S7)</f>
        <v>593278</v>
      </c>
      <c r="H7" s="357">
        <v>580096</v>
      </c>
      <c r="I7" s="358">
        <v>587042</v>
      </c>
      <c r="J7" s="357">
        <v>0</v>
      </c>
      <c r="K7" s="359">
        <v>0</v>
      </c>
      <c r="L7" s="360">
        <v>1917</v>
      </c>
      <c r="M7" s="357"/>
      <c r="N7" s="357">
        <v>3408</v>
      </c>
      <c r="O7" s="358">
        <v>1355</v>
      </c>
      <c r="P7" s="358"/>
      <c r="Q7" s="359">
        <v>4881</v>
      </c>
      <c r="R7" s="361"/>
      <c r="S7" s="359"/>
      <c r="T7" s="573">
        <f t="shared" ref="T7:T70" si="5">SUM(V7,X7,Z7,AA7,AB7,AF7)</f>
        <v>92318</v>
      </c>
      <c r="U7" s="574">
        <f t="shared" ref="U7:U70" si="6">SUM(W7,Y7,AC7,AD7,AE7,AG7)</f>
        <v>95050</v>
      </c>
      <c r="V7" s="357">
        <v>79913</v>
      </c>
      <c r="W7" s="358">
        <v>82043</v>
      </c>
      <c r="X7" s="362">
        <v>1957</v>
      </c>
      <c r="Y7" s="359">
        <v>1872</v>
      </c>
      <c r="Z7" s="361">
        <v>423</v>
      </c>
      <c r="AA7" s="357"/>
      <c r="AB7" s="357">
        <v>10025</v>
      </c>
      <c r="AC7" s="358">
        <v>2111</v>
      </c>
      <c r="AD7" s="358"/>
      <c r="AE7" s="363">
        <v>9024</v>
      </c>
      <c r="AF7" s="361"/>
      <c r="AG7" s="358"/>
    </row>
    <row r="8" spans="1:33" ht="15" customHeight="1">
      <c r="A8" s="353" t="s">
        <v>38</v>
      </c>
      <c r="B8" s="354" t="s">
        <v>300</v>
      </c>
      <c r="C8" s="355"/>
      <c r="D8" s="364">
        <v>100751</v>
      </c>
      <c r="E8" s="353">
        <v>1</v>
      </c>
      <c r="F8" s="571">
        <f t="shared" si="3"/>
        <v>701593</v>
      </c>
      <c r="G8" s="555">
        <f t="shared" si="4"/>
        <v>730281</v>
      </c>
      <c r="H8" s="365">
        <v>661923</v>
      </c>
      <c r="I8" s="366">
        <v>684175</v>
      </c>
      <c r="J8" s="365">
        <v>1606</v>
      </c>
      <c r="K8" s="366">
        <v>180</v>
      </c>
      <c r="L8" s="360">
        <v>37563</v>
      </c>
      <c r="M8" s="365">
        <v>477</v>
      </c>
      <c r="N8" s="365">
        <v>24</v>
      </c>
      <c r="O8" s="366">
        <v>45450</v>
      </c>
      <c r="P8" s="366">
        <v>476</v>
      </c>
      <c r="Q8" s="367">
        <v>0</v>
      </c>
      <c r="R8" s="360">
        <v>0</v>
      </c>
      <c r="S8" s="367">
        <v>0</v>
      </c>
      <c r="T8" s="573">
        <f t="shared" si="5"/>
        <v>96154</v>
      </c>
      <c r="U8" s="574">
        <f t="shared" si="6"/>
        <v>99028</v>
      </c>
      <c r="V8" s="365">
        <v>79946</v>
      </c>
      <c r="W8" s="366">
        <v>80866</v>
      </c>
      <c r="X8" s="368">
        <v>4819</v>
      </c>
      <c r="Y8" s="367">
        <v>5125</v>
      </c>
      <c r="Z8" s="360">
        <v>11034</v>
      </c>
      <c r="AA8" s="365">
        <v>334</v>
      </c>
      <c r="AB8" s="365">
        <v>21</v>
      </c>
      <c r="AC8" s="366">
        <v>12701</v>
      </c>
      <c r="AD8" s="366">
        <v>336</v>
      </c>
      <c r="AE8" s="369">
        <v>0</v>
      </c>
      <c r="AF8" s="360">
        <v>0</v>
      </c>
      <c r="AG8" s="366">
        <v>0</v>
      </c>
    </row>
    <row r="9" spans="1:33" ht="15" customHeight="1">
      <c r="A9" s="353" t="s">
        <v>38</v>
      </c>
      <c r="B9" s="354" t="s">
        <v>301</v>
      </c>
      <c r="C9" s="355" t="s">
        <v>376</v>
      </c>
      <c r="D9" s="364">
        <v>100663</v>
      </c>
      <c r="E9" s="374">
        <v>1</v>
      </c>
      <c r="F9" s="571">
        <f t="shared" si="3"/>
        <v>262748</v>
      </c>
      <c r="G9" s="555">
        <f t="shared" si="4"/>
        <v>265083</v>
      </c>
      <c r="H9" s="365">
        <v>239632</v>
      </c>
      <c r="I9" s="366">
        <v>237131</v>
      </c>
      <c r="J9" s="365">
        <v>535</v>
      </c>
      <c r="K9" s="366">
        <v>182</v>
      </c>
      <c r="L9" s="360">
        <v>22479</v>
      </c>
      <c r="M9" s="365">
        <v>102</v>
      </c>
      <c r="N9" s="365"/>
      <c r="O9" s="366">
        <v>27629</v>
      </c>
      <c r="P9" s="366">
        <v>141</v>
      </c>
      <c r="Q9" s="367">
        <v>0</v>
      </c>
      <c r="R9" s="360"/>
      <c r="S9" s="367"/>
      <c r="T9" s="573">
        <f t="shared" si="5"/>
        <v>46951</v>
      </c>
      <c r="U9" s="574">
        <f t="shared" si="6"/>
        <v>46544</v>
      </c>
      <c r="V9" s="365">
        <v>42472</v>
      </c>
      <c r="W9" s="366">
        <v>38860</v>
      </c>
      <c r="X9" s="368">
        <v>604</v>
      </c>
      <c r="Y9" s="367">
        <v>1178</v>
      </c>
      <c r="Z9" s="360">
        <v>3638</v>
      </c>
      <c r="AA9" s="365">
        <v>237</v>
      </c>
      <c r="AB9" s="365"/>
      <c r="AC9" s="366">
        <v>6359</v>
      </c>
      <c r="AD9" s="366">
        <v>147</v>
      </c>
      <c r="AE9" s="369">
        <v>0</v>
      </c>
      <c r="AF9" s="360"/>
      <c r="AG9" s="366"/>
    </row>
    <row r="10" spans="1:33" ht="15" customHeight="1">
      <c r="A10" s="353" t="s">
        <v>38</v>
      </c>
      <c r="B10" s="354" t="s">
        <v>302</v>
      </c>
      <c r="C10" s="355"/>
      <c r="D10" s="353">
        <v>100706</v>
      </c>
      <c r="E10" s="353">
        <v>2</v>
      </c>
      <c r="F10" s="571">
        <f t="shared" si="3"/>
        <v>161061</v>
      </c>
      <c r="G10" s="555">
        <f t="shared" si="4"/>
        <v>155382</v>
      </c>
      <c r="H10" s="365">
        <v>159070</v>
      </c>
      <c r="I10" s="366">
        <v>152840</v>
      </c>
      <c r="J10" s="365"/>
      <c r="K10" s="366"/>
      <c r="L10" s="360">
        <v>1985</v>
      </c>
      <c r="M10" s="365">
        <v>6</v>
      </c>
      <c r="N10" s="365"/>
      <c r="O10" s="366">
        <v>2542</v>
      </c>
      <c r="P10" s="366"/>
      <c r="Q10" s="367"/>
      <c r="R10" s="360"/>
      <c r="S10" s="367"/>
      <c r="T10" s="573">
        <f t="shared" si="5"/>
        <v>21952</v>
      </c>
      <c r="U10" s="574">
        <f t="shared" si="6"/>
        <v>23176</v>
      </c>
      <c r="V10" s="365">
        <v>18372</v>
      </c>
      <c r="W10" s="366">
        <v>19268</v>
      </c>
      <c r="X10" s="368"/>
      <c r="Y10" s="367"/>
      <c r="Z10" s="360">
        <v>3535</v>
      </c>
      <c r="AA10" s="365">
        <v>33</v>
      </c>
      <c r="AB10" s="365">
        <v>12</v>
      </c>
      <c r="AC10" s="366">
        <v>3908</v>
      </c>
      <c r="AD10" s="366"/>
      <c r="AE10" s="369"/>
      <c r="AF10" s="360"/>
      <c r="AG10" s="366"/>
    </row>
    <row r="11" spans="1:33" ht="15" customHeight="1">
      <c r="A11" s="353" t="s">
        <v>38</v>
      </c>
      <c r="B11" s="354" t="s">
        <v>303</v>
      </c>
      <c r="C11" s="355"/>
      <c r="D11" s="353">
        <v>100654</v>
      </c>
      <c r="E11" s="353">
        <v>3</v>
      </c>
      <c r="F11" s="571">
        <f t="shared" si="3"/>
        <v>134715</v>
      </c>
      <c r="G11" s="555">
        <f t="shared" si="4"/>
        <v>140916</v>
      </c>
      <c r="H11" s="365">
        <v>134715</v>
      </c>
      <c r="I11" s="366">
        <v>140916</v>
      </c>
      <c r="J11" s="365"/>
      <c r="K11" s="366"/>
      <c r="L11" s="360"/>
      <c r="M11" s="365"/>
      <c r="N11" s="365"/>
      <c r="O11" s="366"/>
      <c r="P11" s="366"/>
      <c r="Q11" s="367"/>
      <c r="R11" s="360"/>
      <c r="S11" s="367"/>
      <c r="T11" s="573">
        <f t="shared" si="5"/>
        <v>15386</v>
      </c>
      <c r="U11" s="574">
        <f t="shared" si="6"/>
        <v>17299</v>
      </c>
      <c r="V11" s="365">
        <v>15386</v>
      </c>
      <c r="W11" s="366">
        <v>17299</v>
      </c>
      <c r="X11" s="368"/>
      <c r="Y11" s="367"/>
      <c r="Z11" s="360"/>
      <c r="AA11" s="365"/>
      <c r="AB11" s="365"/>
      <c r="AC11" s="366"/>
      <c r="AD11" s="366"/>
      <c r="AE11" s="369"/>
      <c r="AF11" s="360"/>
      <c r="AG11" s="366"/>
    </row>
    <row r="12" spans="1:33" ht="15" customHeight="1">
      <c r="A12" s="353" t="s">
        <v>38</v>
      </c>
      <c r="B12" s="354" t="s">
        <v>304</v>
      </c>
      <c r="C12" s="355"/>
      <c r="D12" s="353">
        <v>101480</v>
      </c>
      <c r="E12" s="353">
        <v>3</v>
      </c>
      <c r="F12" s="571">
        <f t="shared" si="3"/>
        <v>206841</v>
      </c>
      <c r="G12" s="555">
        <f t="shared" si="4"/>
        <v>213835</v>
      </c>
      <c r="H12" s="365">
        <v>162876</v>
      </c>
      <c r="I12" s="366">
        <v>168492</v>
      </c>
      <c r="J12" s="365">
        <v>5247</v>
      </c>
      <c r="K12" s="366">
        <v>3711</v>
      </c>
      <c r="L12" s="360">
        <v>36116</v>
      </c>
      <c r="M12" s="365">
        <v>2602</v>
      </c>
      <c r="N12" s="365">
        <v>0</v>
      </c>
      <c r="O12" s="366">
        <v>39076</v>
      </c>
      <c r="P12" s="366">
        <v>2556</v>
      </c>
      <c r="Q12" s="367">
        <v>0</v>
      </c>
      <c r="R12" s="360"/>
      <c r="S12" s="367"/>
      <c r="T12" s="573">
        <f t="shared" si="5"/>
        <v>24856</v>
      </c>
      <c r="U12" s="574">
        <f t="shared" si="6"/>
        <v>21835</v>
      </c>
      <c r="V12" s="365">
        <v>14225</v>
      </c>
      <c r="W12" s="366">
        <v>10251</v>
      </c>
      <c r="X12" s="368">
        <v>0</v>
      </c>
      <c r="Y12" s="367">
        <v>0</v>
      </c>
      <c r="Z12" s="360">
        <v>10631</v>
      </c>
      <c r="AA12" s="365">
        <v>0</v>
      </c>
      <c r="AB12" s="365">
        <v>0</v>
      </c>
      <c r="AC12" s="366">
        <v>11530</v>
      </c>
      <c r="AD12" s="366">
        <v>54</v>
      </c>
      <c r="AE12" s="369">
        <v>0</v>
      </c>
      <c r="AF12" s="360">
        <v>0</v>
      </c>
      <c r="AG12" s="366"/>
    </row>
    <row r="13" spans="1:33" ht="15" customHeight="1">
      <c r="A13" s="353" t="s">
        <v>38</v>
      </c>
      <c r="B13" s="354" t="s">
        <v>305</v>
      </c>
      <c r="C13" s="355"/>
      <c r="D13" s="353">
        <v>102368</v>
      </c>
      <c r="E13" s="353">
        <v>3</v>
      </c>
      <c r="F13" s="571">
        <f t="shared" si="3"/>
        <v>347685</v>
      </c>
      <c r="G13" s="555">
        <f t="shared" si="4"/>
        <v>382545</v>
      </c>
      <c r="H13" s="365">
        <v>244083</v>
      </c>
      <c r="I13" s="366">
        <v>241718</v>
      </c>
      <c r="J13" s="365">
        <v>4091</v>
      </c>
      <c r="K13" s="366">
        <v>2791</v>
      </c>
      <c r="L13" s="360">
        <v>96506</v>
      </c>
      <c r="M13" s="365">
        <v>0</v>
      </c>
      <c r="N13" s="365">
        <v>2999</v>
      </c>
      <c r="O13" s="366">
        <v>137892</v>
      </c>
      <c r="P13" s="366">
        <v>0</v>
      </c>
      <c r="Q13" s="367">
        <v>144</v>
      </c>
      <c r="R13" s="360">
        <v>6</v>
      </c>
      <c r="S13" s="367">
        <v>0</v>
      </c>
      <c r="T13" s="573">
        <f t="shared" si="5"/>
        <v>46658</v>
      </c>
      <c r="U13" s="574">
        <f t="shared" si="6"/>
        <v>53610</v>
      </c>
      <c r="V13" s="365">
        <v>29257</v>
      </c>
      <c r="W13" s="366">
        <v>29214</v>
      </c>
      <c r="X13" s="368">
        <v>1140</v>
      </c>
      <c r="Y13" s="367">
        <v>930</v>
      </c>
      <c r="Z13" s="360">
        <v>12989</v>
      </c>
      <c r="AA13" s="365">
        <v>416</v>
      </c>
      <c r="AB13" s="365">
        <v>2856</v>
      </c>
      <c r="AC13" s="366">
        <v>20382</v>
      </c>
      <c r="AD13" s="366">
        <v>0</v>
      </c>
      <c r="AE13" s="369">
        <v>3084</v>
      </c>
      <c r="AF13" s="360">
        <v>0</v>
      </c>
      <c r="AG13" s="366">
        <v>0</v>
      </c>
    </row>
    <row r="14" spans="1:33" ht="15" customHeight="1">
      <c r="A14" s="353" t="s">
        <v>38</v>
      </c>
      <c r="B14" s="354" t="s">
        <v>306</v>
      </c>
      <c r="C14" s="355"/>
      <c r="D14" s="353">
        <v>102094</v>
      </c>
      <c r="E14" s="353">
        <v>3</v>
      </c>
      <c r="F14" s="571">
        <f t="shared" si="3"/>
        <v>272728</v>
      </c>
      <c r="G14" s="555">
        <f t="shared" si="4"/>
        <v>272824</v>
      </c>
      <c r="H14" s="365">
        <v>252814</v>
      </c>
      <c r="I14" s="366">
        <v>244935</v>
      </c>
      <c r="J14" s="365">
        <v>661</v>
      </c>
      <c r="K14" s="366">
        <v>384</v>
      </c>
      <c r="L14" s="360">
        <v>19253</v>
      </c>
      <c r="M14" s="365"/>
      <c r="N14" s="365"/>
      <c r="O14" s="366">
        <v>27505</v>
      </c>
      <c r="P14" s="366"/>
      <c r="Q14" s="367"/>
      <c r="R14" s="360"/>
      <c r="S14" s="367"/>
      <c r="T14" s="573">
        <f t="shared" si="5"/>
        <v>18705</v>
      </c>
      <c r="U14" s="574">
        <f t="shared" si="6"/>
        <v>16843</v>
      </c>
      <c r="V14" s="365">
        <v>13849</v>
      </c>
      <c r="W14" s="366">
        <v>12117</v>
      </c>
      <c r="X14" s="368">
        <v>0</v>
      </c>
      <c r="Y14" s="367">
        <v>0</v>
      </c>
      <c r="Z14" s="360">
        <v>4856</v>
      </c>
      <c r="AA14" s="365"/>
      <c r="AB14" s="365"/>
      <c r="AC14" s="366">
        <v>4726</v>
      </c>
      <c r="AD14" s="366"/>
      <c r="AE14" s="369"/>
      <c r="AF14" s="360"/>
      <c r="AG14" s="366"/>
    </row>
    <row r="15" spans="1:33" ht="15" customHeight="1">
      <c r="A15" s="353" t="s">
        <v>38</v>
      </c>
      <c r="B15" s="354" t="s">
        <v>307</v>
      </c>
      <c r="C15" s="355"/>
      <c r="D15" s="353">
        <v>100724</v>
      </c>
      <c r="E15" s="353">
        <v>4</v>
      </c>
      <c r="F15" s="571">
        <f t="shared" si="3"/>
        <v>156404</v>
      </c>
      <c r="G15" s="555">
        <f t="shared" si="4"/>
        <v>156341</v>
      </c>
      <c r="H15" s="365">
        <v>156083</v>
      </c>
      <c r="I15" s="366">
        <v>153807</v>
      </c>
      <c r="J15" s="365">
        <v>0</v>
      </c>
      <c r="K15" s="367"/>
      <c r="L15" s="360">
        <v>321</v>
      </c>
      <c r="M15" s="365"/>
      <c r="N15" s="365"/>
      <c r="O15" s="366">
        <v>2534</v>
      </c>
      <c r="P15" s="366"/>
      <c r="Q15" s="367"/>
      <c r="R15" s="360"/>
      <c r="S15" s="367"/>
      <c r="T15" s="573">
        <f t="shared" si="5"/>
        <v>16986</v>
      </c>
      <c r="U15" s="574">
        <f t="shared" si="6"/>
        <v>15442</v>
      </c>
      <c r="V15" s="365">
        <v>15888</v>
      </c>
      <c r="W15" s="366">
        <v>10704</v>
      </c>
      <c r="X15" s="368">
        <v>369</v>
      </c>
      <c r="Y15" s="367">
        <v>104</v>
      </c>
      <c r="Z15" s="360">
        <v>687</v>
      </c>
      <c r="AA15" s="365">
        <v>42</v>
      </c>
      <c r="AB15" s="365"/>
      <c r="AC15" s="366">
        <v>4634</v>
      </c>
      <c r="AD15" s="366"/>
      <c r="AE15" s="369"/>
      <c r="AF15" s="360"/>
      <c r="AG15" s="366"/>
    </row>
    <row r="16" spans="1:33" ht="15" customHeight="1">
      <c r="A16" s="353" t="s">
        <v>38</v>
      </c>
      <c r="B16" s="354" t="s">
        <v>308</v>
      </c>
      <c r="C16" s="355"/>
      <c r="D16" s="353">
        <v>100830</v>
      </c>
      <c r="E16" s="353">
        <v>4</v>
      </c>
      <c r="F16" s="571">
        <f t="shared" si="3"/>
        <v>122351</v>
      </c>
      <c r="G16" s="555">
        <f t="shared" si="4"/>
        <v>114305</v>
      </c>
      <c r="H16" s="365">
        <v>105024</v>
      </c>
      <c r="I16" s="370">
        <v>95878</v>
      </c>
      <c r="J16" s="365">
        <v>2402</v>
      </c>
      <c r="K16" s="371">
        <v>3610</v>
      </c>
      <c r="L16" s="360">
        <v>14925</v>
      </c>
      <c r="M16" s="365"/>
      <c r="N16" s="365"/>
      <c r="O16" s="370">
        <v>14817</v>
      </c>
      <c r="P16" s="370">
        <v>0</v>
      </c>
      <c r="Q16" s="371">
        <v>0</v>
      </c>
      <c r="R16" s="360"/>
      <c r="S16" s="371">
        <v>0</v>
      </c>
      <c r="T16" s="573">
        <f t="shared" si="5"/>
        <v>16088</v>
      </c>
      <c r="U16" s="574">
        <f t="shared" si="6"/>
        <v>14461</v>
      </c>
      <c r="V16" s="365">
        <v>11239</v>
      </c>
      <c r="W16" s="370">
        <v>10012</v>
      </c>
      <c r="X16" s="368">
        <v>192</v>
      </c>
      <c r="Y16" s="371">
        <v>99</v>
      </c>
      <c r="Z16" s="360">
        <v>4657</v>
      </c>
      <c r="AA16" s="365"/>
      <c r="AB16" s="365"/>
      <c r="AC16" s="370">
        <v>4350</v>
      </c>
      <c r="AD16" s="370">
        <v>0</v>
      </c>
      <c r="AE16" s="372">
        <v>0</v>
      </c>
      <c r="AF16" s="360"/>
      <c r="AG16" s="370">
        <v>0</v>
      </c>
    </row>
    <row r="17" spans="1:33" ht="15" customHeight="1">
      <c r="A17" s="353" t="s">
        <v>38</v>
      </c>
      <c r="B17" s="354" t="s">
        <v>309</v>
      </c>
      <c r="C17" s="355"/>
      <c r="D17" s="353">
        <v>101879</v>
      </c>
      <c r="E17" s="353">
        <v>4</v>
      </c>
      <c r="F17" s="571">
        <f t="shared" si="3"/>
        <v>162883</v>
      </c>
      <c r="G17" s="555">
        <f t="shared" si="4"/>
        <v>161595</v>
      </c>
      <c r="H17" s="365">
        <v>137854</v>
      </c>
      <c r="I17" s="366">
        <v>135985</v>
      </c>
      <c r="J17" s="365"/>
      <c r="K17" s="367"/>
      <c r="L17" s="360">
        <v>25029</v>
      </c>
      <c r="M17" s="365"/>
      <c r="N17" s="365"/>
      <c r="O17" s="366">
        <v>25610</v>
      </c>
      <c r="P17" s="366"/>
      <c r="Q17" s="367"/>
      <c r="R17" s="360"/>
      <c r="S17" s="367"/>
      <c r="T17" s="573">
        <f t="shared" si="5"/>
        <v>16055</v>
      </c>
      <c r="U17" s="574">
        <f t="shared" si="6"/>
        <v>15321</v>
      </c>
      <c r="V17" s="365">
        <v>5288</v>
      </c>
      <c r="W17" s="366">
        <v>5784</v>
      </c>
      <c r="X17" s="368">
        <v>5198</v>
      </c>
      <c r="Y17" s="367">
        <v>2865</v>
      </c>
      <c r="Z17" s="360">
        <v>5569</v>
      </c>
      <c r="AA17" s="365"/>
      <c r="AB17" s="365"/>
      <c r="AC17" s="366">
        <v>6672</v>
      </c>
      <c r="AD17" s="366"/>
      <c r="AE17" s="369"/>
      <c r="AF17" s="360"/>
      <c r="AG17" s="366"/>
    </row>
    <row r="18" spans="1:33" ht="15" customHeight="1">
      <c r="A18" s="353" t="s">
        <v>38</v>
      </c>
      <c r="B18" s="354" t="s">
        <v>310</v>
      </c>
      <c r="C18" s="355"/>
      <c r="D18" s="353">
        <v>101709</v>
      </c>
      <c r="E18" s="353">
        <v>5</v>
      </c>
      <c r="F18" s="571">
        <f t="shared" si="3"/>
        <v>72994</v>
      </c>
      <c r="G18" s="555">
        <f t="shared" si="4"/>
        <v>72476</v>
      </c>
      <c r="H18" s="365">
        <v>72049</v>
      </c>
      <c r="I18" s="366">
        <v>70485</v>
      </c>
      <c r="J18" s="365">
        <v>219</v>
      </c>
      <c r="K18" s="367">
        <v>147</v>
      </c>
      <c r="L18" s="360">
        <v>726</v>
      </c>
      <c r="M18" s="365"/>
      <c r="N18" s="365"/>
      <c r="O18" s="366">
        <v>1844</v>
      </c>
      <c r="P18" s="366"/>
      <c r="Q18" s="367"/>
      <c r="R18" s="360"/>
      <c r="S18" s="367"/>
      <c r="T18" s="573">
        <f t="shared" si="5"/>
        <v>9559</v>
      </c>
      <c r="U18" s="574">
        <f t="shared" si="6"/>
        <v>11700</v>
      </c>
      <c r="V18" s="365">
        <v>8706</v>
      </c>
      <c r="W18" s="366">
        <v>9958</v>
      </c>
      <c r="X18" s="368">
        <v>462</v>
      </c>
      <c r="Y18" s="367">
        <v>501</v>
      </c>
      <c r="Z18" s="360">
        <v>391</v>
      </c>
      <c r="AA18" s="365"/>
      <c r="AB18" s="365"/>
      <c r="AC18" s="366">
        <v>1241</v>
      </c>
      <c r="AD18" s="366"/>
      <c r="AE18" s="369"/>
      <c r="AF18" s="360"/>
      <c r="AG18" s="366"/>
    </row>
    <row r="19" spans="1:33" ht="15" customHeight="1">
      <c r="A19" s="353" t="s">
        <v>38</v>
      </c>
      <c r="B19" s="354" t="s">
        <v>311</v>
      </c>
      <c r="C19" s="355"/>
      <c r="D19" s="353">
        <v>101587</v>
      </c>
      <c r="E19" s="353">
        <v>5</v>
      </c>
      <c r="F19" s="571">
        <f t="shared" si="3"/>
        <v>50352</v>
      </c>
      <c r="G19" s="555">
        <f t="shared" si="4"/>
        <v>52280</v>
      </c>
      <c r="H19" s="365">
        <v>46176</v>
      </c>
      <c r="I19" s="366">
        <v>47725</v>
      </c>
      <c r="J19" s="365">
        <v>1108</v>
      </c>
      <c r="K19" s="367">
        <v>652</v>
      </c>
      <c r="L19" s="360">
        <v>3068</v>
      </c>
      <c r="M19" s="365"/>
      <c r="N19" s="365"/>
      <c r="O19" s="366">
        <v>3903</v>
      </c>
      <c r="P19" s="366"/>
      <c r="Q19" s="367"/>
      <c r="R19" s="360"/>
      <c r="S19" s="367"/>
      <c r="T19" s="573">
        <f t="shared" si="5"/>
        <v>48336</v>
      </c>
      <c r="U19" s="574">
        <f t="shared" si="6"/>
        <v>46585</v>
      </c>
      <c r="V19" s="365">
        <v>5619</v>
      </c>
      <c r="W19" s="366">
        <v>5125</v>
      </c>
      <c r="X19" s="368">
        <v>186</v>
      </c>
      <c r="Y19" s="367">
        <v>54</v>
      </c>
      <c r="Z19" s="360">
        <v>42531</v>
      </c>
      <c r="AA19" s="365"/>
      <c r="AB19" s="365"/>
      <c r="AC19" s="366">
        <v>41406</v>
      </c>
      <c r="AD19" s="366"/>
      <c r="AE19" s="369"/>
      <c r="AF19" s="360"/>
      <c r="AG19" s="366"/>
    </row>
    <row r="20" spans="1:33" ht="15" customHeight="1">
      <c r="A20" s="353" t="s">
        <v>38</v>
      </c>
      <c r="B20" s="354" t="s">
        <v>312</v>
      </c>
      <c r="C20" s="355"/>
      <c r="D20" s="353">
        <v>100812</v>
      </c>
      <c r="E20" s="353">
        <v>6</v>
      </c>
      <c r="F20" s="571">
        <f t="shared" si="3"/>
        <v>89190</v>
      </c>
      <c r="G20" s="555">
        <f t="shared" si="4"/>
        <v>85702</v>
      </c>
      <c r="H20" s="365">
        <v>22004</v>
      </c>
      <c r="I20" s="366">
        <v>20717</v>
      </c>
      <c r="J20" s="365">
        <v>4023</v>
      </c>
      <c r="K20" s="367">
        <v>3828</v>
      </c>
      <c r="L20" s="360">
        <v>63163</v>
      </c>
      <c r="M20" s="365"/>
      <c r="N20" s="365"/>
      <c r="O20" s="366">
        <v>61157</v>
      </c>
      <c r="P20" s="366"/>
      <c r="Q20" s="367"/>
      <c r="R20" s="360"/>
      <c r="S20" s="367"/>
      <c r="T20" s="573">
        <f t="shared" si="5"/>
        <v>0</v>
      </c>
      <c r="U20" s="574">
        <f t="shared" si="6"/>
        <v>0</v>
      </c>
      <c r="V20" s="365"/>
      <c r="W20" s="366"/>
      <c r="X20" s="368"/>
      <c r="Y20" s="367"/>
      <c r="Z20" s="360"/>
      <c r="AA20" s="365"/>
      <c r="AB20" s="365"/>
      <c r="AC20" s="366"/>
      <c r="AD20" s="366"/>
      <c r="AE20" s="369"/>
      <c r="AF20" s="360"/>
      <c r="AG20" s="366"/>
    </row>
    <row r="21" spans="1:33" ht="15" customHeight="1">
      <c r="A21" s="353" t="s">
        <v>38</v>
      </c>
      <c r="B21" s="354" t="s">
        <v>317</v>
      </c>
      <c r="C21" s="401" t="s">
        <v>378</v>
      </c>
      <c r="D21" s="353">
        <v>101240</v>
      </c>
      <c r="E21" s="402">
        <v>8</v>
      </c>
      <c r="F21" s="571">
        <f t="shared" si="3"/>
        <v>182660</v>
      </c>
      <c r="G21" s="555">
        <f t="shared" si="4"/>
        <v>175612</v>
      </c>
      <c r="H21" s="365">
        <v>755</v>
      </c>
      <c r="I21" s="366">
        <v>56761</v>
      </c>
      <c r="J21" s="365">
        <v>145519</v>
      </c>
      <c r="K21" s="367">
        <v>82100</v>
      </c>
      <c r="L21" s="360">
        <v>36200</v>
      </c>
      <c r="M21" s="365">
        <v>120</v>
      </c>
      <c r="N21" s="365">
        <v>66</v>
      </c>
      <c r="O21" s="366">
        <v>36631</v>
      </c>
      <c r="P21" s="366">
        <v>60</v>
      </c>
      <c r="Q21" s="367">
        <v>60</v>
      </c>
      <c r="R21" s="360"/>
      <c r="S21" s="367"/>
      <c r="T21" s="573">
        <f t="shared" si="5"/>
        <v>0</v>
      </c>
      <c r="U21" s="574">
        <f t="shared" si="6"/>
        <v>0</v>
      </c>
      <c r="V21" s="365"/>
      <c r="W21" s="366"/>
      <c r="X21" s="368"/>
      <c r="Y21" s="367"/>
      <c r="Z21" s="360"/>
      <c r="AA21" s="365"/>
      <c r="AB21" s="365"/>
      <c r="AC21" s="366"/>
      <c r="AD21" s="366"/>
      <c r="AE21" s="369"/>
      <c r="AF21" s="360"/>
      <c r="AG21" s="366"/>
    </row>
    <row r="22" spans="1:33" ht="15" customHeight="1">
      <c r="A22" s="353" t="s">
        <v>38</v>
      </c>
      <c r="B22" s="354" t="s">
        <v>313</v>
      </c>
      <c r="C22" s="355"/>
      <c r="D22" s="353">
        <v>101505</v>
      </c>
      <c r="E22" s="353">
        <v>8</v>
      </c>
      <c r="F22" s="571">
        <f t="shared" si="3"/>
        <v>200118</v>
      </c>
      <c r="G22" s="555">
        <f t="shared" si="4"/>
        <v>202921</v>
      </c>
      <c r="H22" s="365">
        <v>138726</v>
      </c>
      <c r="I22" s="366">
        <v>133695</v>
      </c>
      <c r="J22" s="365">
        <v>22704</v>
      </c>
      <c r="K22" s="367">
        <v>24210</v>
      </c>
      <c r="L22" s="360">
        <v>36946</v>
      </c>
      <c r="M22" s="365">
        <v>1742</v>
      </c>
      <c r="N22" s="365">
        <v>0</v>
      </c>
      <c r="O22" s="366">
        <v>43392</v>
      </c>
      <c r="P22" s="366">
        <v>1624</v>
      </c>
      <c r="Q22" s="367">
        <v>0</v>
      </c>
      <c r="R22" s="360"/>
      <c r="S22" s="367"/>
      <c r="T22" s="573">
        <f t="shared" si="5"/>
        <v>0</v>
      </c>
      <c r="U22" s="574">
        <f t="shared" si="6"/>
        <v>0</v>
      </c>
      <c r="V22" s="365"/>
      <c r="W22" s="366"/>
      <c r="X22" s="368"/>
      <c r="Y22" s="367"/>
      <c r="Z22" s="360"/>
      <c r="AA22" s="365"/>
      <c r="AB22" s="365"/>
      <c r="AC22" s="366"/>
      <c r="AD22" s="366"/>
      <c r="AE22" s="369"/>
      <c r="AF22" s="360"/>
      <c r="AG22" s="366"/>
    </row>
    <row r="23" spans="1:33" ht="15" customHeight="1">
      <c r="A23" s="353" t="s">
        <v>38</v>
      </c>
      <c r="B23" s="354" t="s">
        <v>314</v>
      </c>
      <c r="C23" s="355"/>
      <c r="D23" s="353">
        <v>101514</v>
      </c>
      <c r="E23" s="353">
        <v>8</v>
      </c>
      <c r="F23" s="571">
        <f t="shared" si="3"/>
        <v>260777</v>
      </c>
      <c r="G23" s="555">
        <f t="shared" si="4"/>
        <v>262124</v>
      </c>
      <c r="H23" s="365">
        <v>204487</v>
      </c>
      <c r="I23" s="366">
        <v>203325</v>
      </c>
      <c r="J23" s="365">
        <v>5767</v>
      </c>
      <c r="K23" s="367">
        <v>5130</v>
      </c>
      <c r="L23" s="360">
        <v>26187</v>
      </c>
      <c r="M23" s="365">
        <v>0</v>
      </c>
      <c r="N23" s="365">
        <v>24336</v>
      </c>
      <c r="O23" s="366">
        <v>31317</v>
      </c>
      <c r="P23" s="366">
        <v>0</v>
      </c>
      <c r="Q23" s="367">
        <v>22352</v>
      </c>
      <c r="R23" s="360"/>
      <c r="S23" s="367"/>
      <c r="T23" s="573">
        <f t="shared" si="5"/>
        <v>0</v>
      </c>
      <c r="U23" s="574">
        <f t="shared" si="6"/>
        <v>0</v>
      </c>
      <c r="V23" s="365"/>
      <c r="W23" s="366"/>
      <c r="X23" s="368"/>
      <c r="Y23" s="367"/>
      <c r="Z23" s="360"/>
      <c r="AA23" s="365"/>
      <c r="AB23" s="365"/>
      <c r="AC23" s="366"/>
      <c r="AD23" s="366"/>
      <c r="AE23" s="369"/>
      <c r="AF23" s="360"/>
      <c r="AG23" s="366"/>
    </row>
    <row r="24" spans="1:33" ht="15" customHeight="1">
      <c r="A24" s="353" t="s">
        <v>38</v>
      </c>
      <c r="B24" s="354" t="s">
        <v>325</v>
      </c>
      <c r="C24" s="401" t="s">
        <v>378</v>
      </c>
      <c r="D24" s="353">
        <v>101295</v>
      </c>
      <c r="E24" s="402">
        <v>8</v>
      </c>
      <c r="F24" s="571">
        <f t="shared" si="3"/>
        <v>173062</v>
      </c>
      <c r="G24" s="555">
        <f t="shared" si="4"/>
        <v>160667</v>
      </c>
      <c r="H24" s="365">
        <v>133878</v>
      </c>
      <c r="I24" s="366">
        <v>124287</v>
      </c>
      <c r="J24" s="365">
        <v>10663</v>
      </c>
      <c r="K24" s="367">
        <v>8717</v>
      </c>
      <c r="L24" s="360">
        <v>28437</v>
      </c>
      <c r="M24" s="365">
        <v>0</v>
      </c>
      <c r="N24" s="365">
        <v>84</v>
      </c>
      <c r="O24" s="366">
        <v>27606</v>
      </c>
      <c r="P24" s="366">
        <v>0</v>
      </c>
      <c r="Q24" s="367">
        <v>57</v>
      </c>
      <c r="R24" s="360"/>
      <c r="S24" s="367"/>
      <c r="T24" s="573">
        <f t="shared" si="5"/>
        <v>0</v>
      </c>
      <c r="U24" s="574">
        <f t="shared" si="6"/>
        <v>0</v>
      </c>
      <c r="V24" s="365"/>
      <c r="W24" s="366"/>
      <c r="X24" s="368"/>
      <c r="Y24" s="367"/>
      <c r="Z24" s="360"/>
      <c r="AA24" s="365"/>
      <c r="AB24" s="365"/>
      <c r="AC24" s="366"/>
      <c r="AD24" s="366"/>
      <c r="AE24" s="369"/>
      <c r="AF24" s="360"/>
      <c r="AG24" s="366"/>
    </row>
    <row r="25" spans="1:33" ht="15" customHeight="1">
      <c r="A25" s="353" t="s">
        <v>38</v>
      </c>
      <c r="B25" s="354" t="s">
        <v>315</v>
      </c>
      <c r="C25" s="355"/>
      <c r="D25" s="353">
        <v>102429</v>
      </c>
      <c r="E25" s="353">
        <v>9</v>
      </c>
      <c r="F25" s="571">
        <f t="shared" si="3"/>
        <v>121792</v>
      </c>
      <c r="G25" s="555">
        <f t="shared" si="4"/>
        <v>107951</v>
      </c>
      <c r="H25" s="365">
        <v>34513</v>
      </c>
      <c r="I25" s="366">
        <v>30859</v>
      </c>
      <c r="J25" s="365">
        <v>68105</v>
      </c>
      <c r="K25" s="367">
        <v>56848</v>
      </c>
      <c r="L25" s="360">
        <v>13954</v>
      </c>
      <c r="M25" s="365">
        <v>5220</v>
      </c>
      <c r="N25" s="365">
        <v>0</v>
      </c>
      <c r="O25" s="366">
        <v>16317</v>
      </c>
      <c r="P25" s="366">
        <v>3927</v>
      </c>
      <c r="Q25" s="367">
        <v>0</v>
      </c>
      <c r="R25" s="360"/>
      <c r="S25" s="367"/>
      <c r="T25" s="573">
        <f t="shared" si="5"/>
        <v>0</v>
      </c>
      <c r="U25" s="574">
        <f t="shared" si="6"/>
        <v>0</v>
      </c>
      <c r="V25" s="365"/>
      <c r="W25" s="366"/>
      <c r="X25" s="368"/>
      <c r="Y25" s="367"/>
      <c r="Z25" s="360"/>
      <c r="AA25" s="365"/>
      <c r="AB25" s="365"/>
      <c r="AC25" s="366"/>
      <c r="AD25" s="366"/>
      <c r="AE25" s="369"/>
      <c r="AF25" s="360"/>
      <c r="AG25" s="366"/>
    </row>
    <row r="26" spans="1:33" ht="15" customHeight="1">
      <c r="A26" s="353" t="s">
        <v>38</v>
      </c>
      <c r="B26" s="354" t="s">
        <v>316</v>
      </c>
      <c r="C26" s="355" t="s">
        <v>39</v>
      </c>
      <c r="D26" s="353">
        <v>102030</v>
      </c>
      <c r="E26" s="353">
        <v>9</v>
      </c>
      <c r="F26" s="571">
        <f t="shared" si="3"/>
        <v>86410</v>
      </c>
      <c r="G26" s="555">
        <f t="shared" si="4"/>
        <v>90362</v>
      </c>
      <c r="H26" s="365">
        <v>77376</v>
      </c>
      <c r="I26" s="366">
        <v>81066</v>
      </c>
      <c r="J26" s="365">
        <v>1819</v>
      </c>
      <c r="K26" s="367">
        <v>1131</v>
      </c>
      <c r="L26" s="360">
        <v>6411</v>
      </c>
      <c r="M26" s="365">
        <v>0</v>
      </c>
      <c r="N26" s="365">
        <v>804</v>
      </c>
      <c r="O26" s="366">
        <v>7055</v>
      </c>
      <c r="P26" s="366">
        <v>0</v>
      </c>
      <c r="Q26" s="367">
        <v>1110</v>
      </c>
      <c r="R26" s="360"/>
      <c r="S26" s="367"/>
      <c r="T26" s="573">
        <f t="shared" si="5"/>
        <v>0</v>
      </c>
      <c r="U26" s="574">
        <f t="shared" si="6"/>
        <v>0</v>
      </c>
      <c r="V26" s="365"/>
      <c r="W26" s="366"/>
      <c r="X26" s="368"/>
      <c r="Y26" s="367"/>
      <c r="Z26" s="360"/>
      <c r="AA26" s="365"/>
      <c r="AB26" s="365"/>
      <c r="AC26" s="366"/>
      <c r="AD26" s="366"/>
      <c r="AE26" s="369"/>
      <c r="AF26" s="360"/>
      <c r="AG26" s="366"/>
    </row>
    <row r="27" spans="1:33" ht="15" customHeight="1">
      <c r="A27" s="353" t="s">
        <v>38</v>
      </c>
      <c r="B27" s="354" t="s">
        <v>327</v>
      </c>
      <c r="C27" s="401" t="s">
        <v>379</v>
      </c>
      <c r="D27" s="353">
        <v>100760</v>
      </c>
      <c r="E27" s="402">
        <v>9</v>
      </c>
      <c r="F27" s="571">
        <f t="shared" si="3"/>
        <v>66449</v>
      </c>
      <c r="G27" s="555">
        <f t="shared" si="4"/>
        <v>62427</v>
      </c>
      <c r="H27" s="365">
        <v>47181</v>
      </c>
      <c r="I27" s="366">
        <v>41513</v>
      </c>
      <c r="J27" s="365">
        <v>7299</v>
      </c>
      <c r="K27" s="367">
        <v>7097</v>
      </c>
      <c r="L27" s="360">
        <v>11969</v>
      </c>
      <c r="M27" s="365">
        <v>0</v>
      </c>
      <c r="N27" s="365">
        <v>0</v>
      </c>
      <c r="O27" s="366">
        <v>13810</v>
      </c>
      <c r="P27" s="366">
        <v>0</v>
      </c>
      <c r="Q27" s="367">
        <v>0</v>
      </c>
      <c r="R27" s="360"/>
      <c r="S27" s="367">
        <v>7</v>
      </c>
      <c r="T27" s="573">
        <f t="shared" si="5"/>
        <v>0</v>
      </c>
      <c r="U27" s="574">
        <f t="shared" si="6"/>
        <v>0</v>
      </c>
      <c r="V27" s="365"/>
      <c r="W27" s="366"/>
      <c r="X27" s="368"/>
      <c r="Y27" s="367"/>
      <c r="Z27" s="360"/>
      <c r="AA27" s="365"/>
      <c r="AB27" s="365"/>
      <c r="AC27" s="366"/>
      <c r="AD27" s="366"/>
      <c r="AE27" s="369"/>
      <c r="AF27" s="360"/>
      <c r="AG27" s="366"/>
    </row>
    <row r="28" spans="1:33" ht="15" customHeight="1">
      <c r="A28" s="353" t="s">
        <v>38</v>
      </c>
      <c r="B28" s="375" t="s">
        <v>329</v>
      </c>
      <c r="C28" s="401" t="s">
        <v>380</v>
      </c>
      <c r="D28" s="353">
        <v>101143</v>
      </c>
      <c r="E28" s="402">
        <v>9</v>
      </c>
      <c r="F28" s="571">
        <f t="shared" si="3"/>
        <v>83509</v>
      </c>
      <c r="G28" s="555">
        <f t="shared" si="4"/>
        <v>81749</v>
      </c>
      <c r="H28" s="365">
        <v>64010</v>
      </c>
      <c r="I28" s="366">
        <v>63546</v>
      </c>
      <c r="J28" s="365">
        <v>13473</v>
      </c>
      <c r="K28" s="367">
        <v>11301</v>
      </c>
      <c r="L28" s="360">
        <v>6026</v>
      </c>
      <c r="M28" s="365">
        <v>0</v>
      </c>
      <c r="N28" s="365">
        <v>0</v>
      </c>
      <c r="O28" s="366">
        <v>6902</v>
      </c>
      <c r="P28" s="366">
        <v>0</v>
      </c>
      <c r="Q28" s="367">
        <v>0</v>
      </c>
      <c r="R28" s="360"/>
      <c r="S28" s="367"/>
      <c r="T28" s="573">
        <f t="shared" si="5"/>
        <v>0</v>
      </c>
      <c r="U28" s="574">
        <f t="shared" si="6"/>
        <v>0</v>
      </c>
      <c r="V28" s="365"/>
      <c r="W28" s="366"/>
      <c r="X28" s="368"/>
      <c r="Y28" s="367"/>
      <c r="Z28" s="360"/>
      <c r="AA28" s="365"/>
      <c r="AB28" s="365"/>
      <c r="AC28" s="366"/>
      <c r="AD28" s="366"/>
      <c r="AE28" s="369"/>
      <c r="AF28" s="360"/>
      <c r="AG28" s="366"/>
    </row>
    <row r="29" spans="1:33" ht="15" customHeight="1">
      <c r="A29" s="353" t="s">
        <v>38</v>
      </c>
      <c r="B29" s="354" t="s">
        <v>318</v>
      </c>
      <c r="C29" s="355"/>
      <c r="D29" s="353">
        <v>101286</v>
      </c>
      <c r="E29" s="353">
        <v>9</v>
      </c>
      <c r="F29" s="571">
        <f t="shared" si="3"/>
        <v>126601</v>
      </c>
      <c r="G29" s="555">
        <f t="shared" si="4"/>
        <v>125259</v>
      </c>
      <c r="H29" s="365">
        <v>86556</v>
      </c>
      <c r="I29" s="366">
        <v>84094</v>
      </c>
      <c r="J29" s="365">
        <v>19383</v>
      </c>
      <c r="K29" s="367">
        <v>18691</v>
      </c>
      <c r="L29" s="360">
        <v>20662</v>
      </c>
      <c r="M29" s="365">
        <v>0</v>
      </c>
      <c r="N29" s="365">
        <v>0</v>
      </c>
      <c r="O29" s="366">
        <v>22474</v>
      </c>
      <c r="P29" s="366">
        <v>0</v>
      </c>
      <c r="Q29" s="367">
        <v>0</v>
      </c>
      <c r="R29" s="360"/>
      <c r="S29" s="367"/>
      <c r="T29" s="573">
        <f t="shared" si="5"/>
        <v>0</v>
      </c>
      <c r="U29" s="574">
        <f t="shared" si="6"/>
        <v>0</v>
      </c>
      <c r="V29" s="365"/>
      <c r="W29" s="366"/>
      <c r="X29" s="368"/>
      <c r="Y29" s="367"/>
      <c r="Z29" s="360"/>
      <c r="AA29" s="365"/>
      <c r="AB29" s="365"/>
      <c r="AC29" s="366"/>
      <c r="AD29" s="366"/>
      <c r="AE29" s="369"/>
      <c r="AF29" s="360"/>
      <c r="AG29" s="366"/>
    </row>
    <row r="30" spans="1:33" ht="15" customHeight="1">
      <c r="A30" s="353" t="s">
        <v>38</v>
      </c>
      <c r="B30" s="354" t="s">
        <v>319</v>
      </c>
      <c r="C30" s="355"/>
      <c r="D30" s="353">
        <v>101161</v>
      </c>
      <c r="E30" s="353">
        <v>9</v>
      </c>
      <c r="F30" s="571">
        <f t="shared" si="3"/>
        <v>118631</v>
      </c>
      <c r="G30" s="555">
        <f t="shared" si="4"/>
        <v>117734</v>
      </c>
      <c r="H30" s="365">
        <v>53429</v>
      </c>
      <c r="I30" s="366">
        <v>51533</v>
      </c>
      <c r="J30" s="365">
        <v>36131</v>
      </c>
      <c r="K30" s="367">
        <v>36358</v>
      </c>
      <c r="L30" s="360">
        <v>20440</v>
      </c>
      <c r="M30" s="365">
        <v>0</v>
      </c>
      <c r="N30" s="365">
        <v>8631</v>
      </c>
      <c r="O30" s="366">
        <v>22120</v>
      </c>
      <c r="P30" s="366"/>
      <c r="Q30" s="367">
        <v>7723</v>
      </c>
      <c r="R30" s="360"/>
      <c r="S30" s="367"/>
      <c r="T30" s="573">
        <f t="shared" si="5"/>
        <v>0</v>
      </c>
      <c r="U30" s="574">
        <f t="shared" si="6"/>
        <v>0</v>
      </c>
      <c r="V30" s="365"/>
      <c r="W30" s="366"/>
      <c r="X30" s="368"/>
      <c r="Y30" s="367"/>
      <c r="Z30" s="360"/>
      <c r="AA30" s="365"/>
      <c r="AB30" s="365"/>
      <c r="AC30" s="366"/>
      <c r="AD30" s="366"/>
      <c r="AE30" s="369"/>
      <c r="AF30" s="360"/>
      <c r="AG30" s="366"/>
    </row>
    <row r="31" spans="1:33" ht="15" customHeight="1">
      <c r="A31" s="353" t="s">
        <v>38</v>
      </c>
      <c r="B31" s="354" t="s">
        <v>320</v>
      </c>
      <c r="C31" s="355"/>
      <c r="D31" s="353">
        <v>101569</v>
      </c>
      <c r="E31" s="353">
        <v>9</v>
      </c>
      <c r="F31" s="571">
        <f t="shared" si="3"/>
        <v>116634</v>
      </c>
      <c r="G31" s="555">
        <f t="shared" si="4"/>
        <v>114397</v>
      </c>
      <c r="H31" s="365">
        <v>101908</v>
      </c>
      <c r="I31" s="366">
        <v>100389</v>
      </c>
      <c r="J31" s="365">
        <v>2948</v>
      </c>
      <c r="K31" s="367">
        <v>2623</v>
      </c>
      <c r="L31" s="360">
        <v>11762</v>
      </c>
      <c r="M31" s="365">
        <v>0</v>
      </c>
      <c r="N31" s="365">
        <v>16</v>
      </c>
      <c r="O31" s="366">
        <v>11381</v>
      </c>
      <c r="P31" s="366">
        <v>0</v>
      </c>
      <c r="Q31" s="367">
        <v>4</v>
      </c>
      <c r="R31" s="360"/>
      <c r="S31" s="367"/>
      <c r="T31" s="573">
        <f t="shared" si="5"/>
        <v>0</v>
      </c>
      <c r="U31" s="574">
        <f t="shared" si="6"/>
        <v>0</v>
      </c>
      <c r="V31" s="365"/>
      <c r="W31" s="366"/>
      <c r="X31" s="368"/>
      <c r="Y31" s="367"/>
      <c r="Z31" s="360"/>
      <c r="AA31" s="365"/>
      <c r="AB31" s="365"/>
      <c r="AC31" s="366"/>
      <c r="AD31" s="366"/>
      <c r="AE31" s="369"/>
      <c r="AF31" s="360"/>
      <c r="AG31" s="366"/>
    </row>
    <row r="32" spans="1:33" ht="15" customHeight="1">
      <c r="A32" s="353" t="s">
        <v>38</v>
      </c>
      <c r="B32" s="537" t="s">
        <v>321</v>
      </c>
      <c r="C32" s="373"/>
      <c r="D32" s="353">
        <v>101897</v>
      </c>
      <c r="E32" s="522">
        <v>9</v>
      </c>
      <c r="F32" s="571">
        <f t="shared" si="3"/>
        <v>89336</v>
      </c>
      <c r="G32" s="555">
        <f t="shared" si="4"/>
        <v>84621</v>
      </c>
      <c r="H32" s="365">
        <v>62932</v>
      </c>
      <c r="I32" s="366">
        <v>58488</v>
      </c>
      <c r="J32" s="365">
        <v>5581</v>
      </c>
      <c r="K32" s="367">
        <v>5023</v>
      </c>
      <c r="L32" s="360">
        <v>20823</v>
      </c>
      <c r="M32" s="365">
        <v>0</v>
      </c>
      <c r="N32" s="365">
        <v>0</v>
      </c>
      <c r="O32" s="366">
        <v>21110</v>
      </c>
      <c r="P32" s="366">
        <v>0</v>
      </c>
      <c r="Q32" s="367">
        <v>0</v>
      </c>
      <c r="R32" s="360"/>
      <c r="S32" s="367"/>
      <c r="T32" s="573">
        <f t="shared" si="5"/>
        <v>0</v>
      </c>
      <c r="U32" s="574">
        <f t="shared" si="6"/>
        <v>0</v>
      </c>
      <c r="V32" s="365"/>
      <c r="W32" s="366"/>
      <c r="X32" s="368"/>
      <c r="Y32" s="367"/>
      <c r="Z32" s="360"/>
      <c r="AA32" s="365"/>
      <c r="AB32" s="365"/>
      <c r="AC32" s="366"/>
      <c r="AD32" s="366"/>
      <c r="AE32" s="369"/>
      <c r="AF32" s="360"/>
      <c r="AG32" s="366"/>
    </row>
    <row r="33" spans="1:33" ht="15" customHeight="1">
      <c r="A33" s="353" t="s">
        <v>38</v>
      </c>
      <c r="B33" s="354" t="s">
        <v>322</v>
      </c>
      <c r="C33" s="355"/>
      <c r="D33" s="353">
        <v>101736</v>
      </c>
      <c r="E33" s="353">
        <v>9</v>
      </c>
      <c r="F33" s="571">
        <f t="shared" si="3"/>
        <v>105919</v>
      </c>
      <c r="G33" s="555">
        <f t="shared" si="4"/>
        <v>93839</v>
      </c>
      <c r="H33" s="365">
        <v>72232</v>
      </c>
      <c r="I33" s="366">
        <v>83166</v>
      </c>
      <c r="J33" s="365">
        <v>22230</v>
      </c>
      <c r="K33" s="367">
        <v>707</v>
      </c>
      <c r="L33" s="360">
        <v>7467</v>
      </c>
      <c r="M33" s="365">
        <v>765</v>
      </c>
      <c r="N33" s="365">
        <v>3225</v>
      </c>
      <c r="O33" s="366">
        <v>7806</v>
      </c>
      <c r="P33" s="366">
        <v>420</v>
      </c>
      <c r="Q33" s="367">
        <v>1740</v>
      </c>
      <c r="R33" s="360"/>
      <c r="S33" s="367"/>
      <c r="T33" s="573">
        <f t="shared" si="5"/>
        <v>0</v>
      </c>
      <c r="U33" s="574">
        <f t="shared" si="6"/>
        <v>0</v>
      </c>
      <c r="V33" s="365"/>
      <c r="W33" s="366"/>
      <c r="X33" s="368"/>
      <c r="Y33" s="367"/>
      <c r="Z33" s="360"/>
      <c r="AA33" s="365"/>
      <c r="AB33" s="365"/>
      <c r="AC33" s="366"/>
      <c r="AD33" s="366"/>
      <c r="AE33" s="369"/>
      <c r="AF33" s="360"/>
      <c r="AG33" s="366"/>
    </row>
    <row r="34" spans="1:33" ht="15" customHeight="1">
      <c r="A34" s="353" t="s">
        <v>38</v>
      </c>
      <c r="B34" s="354" t="s">
        <v>323</v>
      </c>
      <c r="C34" s="355"/>
      <c r="D34" s="353">
        <v>102067</v>
      </c>
      <c r="E34" s="353">
        <v>9</v>
      </c>
      <c r="F34" s="571">
        <f t="shared" si="3"/>
        <v>155348</v>
      </c>
      <c r="G34" s="555">
        <f t="shared" si="4"/>
        <v>138645</v>
      </c>
      <c r="H34" s="575">
        <v>150719</v>
      </c>
      <c r="I34" s="576">
        <v>132221</v>
      </c>
      <c r="J34" s="575">
        <v>170</v>
      </c>
      <c r="K34" s="577">
        <v>253</v>
      </c>
      <c r="L34" s="360">
        <v>4459</v>
      </c>
      <c r="M34" s="575">
        <v>0</v>
      </c>
      <c r="N34" s="575">
        <v>0</v>
      </c>
      <c r="O34" s="576">
        <v>6171</v>
      </c>
      <c r="P34" s="576">
        <v>0</v>
      </c>
      <c r="Q34" s="577">
        <v>0</v>
      </c>
      <c r="R34" s="572"/>
      <c r="S34" s="577"/>
      <c r="T34" s="573">
        <f t="shared" si="5"/>
        <v>0</v>
      </c>
      <c r="U34" s="574">
        <f t="shared" si="6"/>
        <v>0</v>
      </c>
      <c r="V34" s="575"/>
      <c r="W34" s="576"/>
      <c r="X34" s="578"/>
      <c r="Y34" s="577"/>
      <c r="Z34" s="572"/>
      <c r="AA34" s="575"/>
      <c r="AB34" s="575"/>
      <c r="AC34" s="576"/>
      <c r="AD34" s="576"/>
      <c r="AE34" s="579"/>
      <c r="AF34" s="572"/>
      <c r="AG34" s="576"/>
    </row>
    <row r="35" spans="1:33" ht="15" customHeight="1">
      <c r="A35" s="353" t="s">
        <v>38</v>
      </c>
      <c r="B35" s="354" t="s">
        <v>324</v>
      </c>
      <c r="C35" s="355"/>
      <c r="D35" s="353">
        <v>251260</v>
      </c>
      <c r="E35" s="353">
        <v>9</v>
      </c>
      <c r="F35" s="571">
        <f t="shared" si="3"/>
        <v>133498</v>
      </c>
      <c r="G35" s="555">
        <f t="shared" si="4"/>
        <v>133363</v>
      </c>
      <c r="H35" s="365">
        <v>15692</v>
      </c>
      <c r="I35" s="366">
        <v>14963</v>
      </c>
      <c r="J35" s="365">
        <v>97219</v>
      </c>
      <c r="K35" s="367">
        <v>97480</v>
      </c>
      <c r="L35" s="360">
        <v>20449</v>
      </c>
      <c r="M35" s="365">
        <v>138</v>
      </c>
      <c r="N35" s="365">
        <v>0</v>
      </c>
      <c r="O35" s="366">
        <v>20233</v>
      </c>
      <c r="P35" s="366">
        <v>687</v>
      </c>
      <c r="Q35" s="367">
        <v>0</v>
      </c>
      <c r="R35" s="360"/>
      <c r="S35" s="367"/>
      <c r="T35" s="573">
        <f t="shared" si="5"/>
        <v>0</v>
      </c>
      <c r="U35" s="574">
        <f t="shared" si="6"/>
        <v>0</v>
      </c>
      <c r="V35" s="365"/>
      <c r="W35" s="366"/>
      <c r="X35" s="368"/>
      <c r="Y35" s="367"/>
      <c r="Z35" s="360"/>
      <c r="AA35" s="365"/>
      <c r="AB35" s="365"/>
      <c r="AC35" s="366"/>
      <c r="AD35" s="366"/>
      <c r="AE35" s="369"/>
      <c r="AF35" s="360"/>
      <c r="AG35" s="366"/>
    </row>
    <row r="36" spans="1:33" ht="15" customHeight="1">
      <c r="A36" s="353" t="s">
        <v>38</v>
      </c>
      <c r="B36" s="354" t="s">
        <v>326</v>
      </c>
      <c r="C36" s="355"/>
      <c r="D36" s="353">
        <v>101949</v>
      </c>
      <c r="E36" s="353">
        <v>10</v>
      </c>
      <c r="F36" s="571">
        <f t="shared" si="3"/>
        <v>40476</v>
      </c>
      <c r="G36" s="555">
        <f t="shared" si="4"/>
        <v>40708</v>
      </c>
      <c r="H36" s="357">
        <v>13590</v>
      </c>
      <c r="I36" s="358">
        <v>13481</v>
      </c>
      <c r="J36" s="357">
        <v>25061</v>
      </c>
      <c r="K36" s="359">
        <v>25541</v>
      </c>
      <c r="L36" s="360">
        <v>1795</v>
      </c>
      <c r="M36" s="357">
        <v>30</v>
      </c>
      <c r="N36" s="357">
        <v>0</v>
      </c>
      <c r="O36" s="358">
        <v>1686</v>
      </c>
      <c r="P36" s="358">
        <v>0</v>
      </c>
      <c r="Q36" s="359">
        <v>0</v>
      </c>
      <c r="R36" s="361"/>
      <c r="S36" s="359"/>
      <c r="T36" s="573">
        <f t="shared" si="5"/>
        <v>0</v>
      </c>
      <c r="U36" s="574">
        <f t="shared" si="6"/>
        <v>0</v>
      </c>
      <c r="V36" s="357"/>
      <c r="W36" s="358"/>
      <c r="X36" s="362"/>
      <c r="Y36" s="359"/>
      <c r="Z36" s="361"/>
      <c r="AA36" s="357"/>
      <c r="AB36" s="357"/>
      <c r="AC36" s="358"/>
      <c r="AD36" s="358"/>
      <c r="AE36" s="363"/>
      <c r="AF36" s="361"/>
      <c r="AG36" s="358"/>
    </row>
    <row r="37" spans="1:33" ht="15" customHeight="1">
      <c r="A37" s="353" t="s">
        <v>38</v>
      </c>
      <c r="B37" s="354" t="s">
        <v>328</v>
      </c>
      <c r="C37" s="355"/>
      <c r="D37" s="353">
        <v>101028</v>
      </c>
      <c r="E37" s="353">
        <v>10</v>
      </c>
      <c r="F37" s="571">
        <f t="shared" si="3"/>
        <v>43194</v>
      </c>
      <c r="G37" s="555">
        <f t="shared" si="4"/>
        <v>42168</v>
      </c>
      <c r="H37" s="365">
        <v>38435</v>
      </c>
      <c r="I37" s="366">
        <v>38037</v>
      </c>
      <c r="J37" s="365">
        <v>72</v>
      </c>
      <c r="K37" s="367">
        <v>81</v>
      </c>
      <c r="L37" s="360">
        <v>4687</v>
      </c>
      <c r="M37" s="365">
        <v>0</v>
      </c>
      <c r="N37" s="365">
        <v>0</v>
      </c>
      <c r="O37" s="366">
        <v>4050</v>
      </c>
      <c r="P37" s="366">
        <v>0</v>
      </c>
      <c r="Q37" s="367">
        <v>0</v>
      </c>
      <c r="R37" s="360"/>
      <c r="S37" s="367"/>
      <c r="T37" s="573">
        <f t="shared" si="5"/>
        <v>0</v>
      </c>
      <c r="U37" s="574">
        <f t="shared" si="6"/>
        <v>0</v>
      </c>
      <c r="V37" s="365"/>
      <c r="W37" s="366"/>
      <c r="X37" s="368"/>
      <c r="Y37" s="367"/>
      <c r="Z37" s="360"/>
      <c r="AA37" s="365"/>
      <c r="AB37" s="365"/>
      <c r="AC37" s="366"/>
      <c r="AD37" s="366"/>
      <c r="AE37" s="369"/>
      <c r="AF37" s="360"/>
      <c r="AG37" s="366"/>
    </row>
    <row r="38" spans="1:33" ht="15" customHeight="1">
      <c r="A38" s="353" t="s">
        <v>38</v>
      </c>
      <c r="B38" s="354" t="s">
        <v>330</v>
      </c>
      <c r="C38" s="355" t="s">
        <v>381</v>
      </c>
      <c r="D38" s="353">
        <v>101301</v>
      </c>
      <c r="E38" s="353">
        <v>10</v>
      </c>
      <c r="F38" s="571">
        <f t="shared" si="3"/>
        <v>59867</v>
      </c>
      <c r="G38" s="555">
        <f t="shared" si="4"/>
        <v>60847</v>
      </c>
      <c r="H38" s="365">
        <v>41098</v>
      </c>
      <c r="I38" s="366">
        <v>39130</v>
      </c>
      <c r="J38" s="365">
        <v>0</v>
      </c>
      <c r="K38" s="367">
        <v>0</v>
      </c>
      <c r="L38" s="360">
        <v>18769</v>
      </c>
      <c r="M38" s="365">
        <v>0</v>
      </c>
      <c r="N38" s="365">
        <v>0</v>
      </c>
      <c r="O38" s="366">
        <v>21717</v>
      </c>
      <c r="P38" s="366">
        <v>0</v>
      </c>
      <c r="Q38" s="367">
        <v>0</v>
      </c>
      <c r="R38" s="360"/>
      <c r="S38" s="367"/>
      <c r="T38" s="573">
        <f t="shared" si="5"/>
        <v>0</v>
      </c>
      <c r="U38" s="574">
        <f t="shared" si="6"/>
        <v>0</v>
      </c>
      <c r="V38" s="365"/>
      <c r="W38" s="366"/>
      <c r="X38" s="368"/>
      <c r="Y38" s="367"/>
      <c r="Z38" s="360"/>
      <c r="AA38" s="365"/>
      <c r="AB38" s="365"/>
      <c r="AC38" s="366"/>
      <c r="AD38" s="366"/>
      <c r="AE38" s="369"/>
      <c r="AF38" s="360"/>
      <c r="AG38" s="366"/>
    </row>
    <row r="39" spans="1:33" ht="15" customHeight="1">
      <c r="A39" s="353" t="s">
        <v>38</v>
      </c>
      <c r="B39" s="354" t="s">
        <v>331</v>
      </c>
      <c r="C39" s="355"/>
      <c r="D39" s="353">
        <v>101499</v>
      </c>
      <c r="E39" s="353">
        <v>10</v>
      </c>
      <c r="F39" s="571">
        <f t="shared" si="3"/>
        <v>35324</v>
      </c>
      <c r="G39" s="555">
        <f t="shared" si="4"/>
        <v>32301</v>
      </c>
      <c r="H39" s="365">
        <v>15893</v>
      </c>
      <c r="I39" s="366">
        <v>13524</v>
      </c>
      <c r="J39" s="365">
        <v>15180</v>
      </c>
      <c r="K39" s="367">
        <v>14635</v>
      </c>
      <c r="L39" s="360">
        <v>3925</v>
      </c>
      <c r="M39" s="365">
        <v>0</v>
      </c>
      <c r="N39" s="365">
        <v>326</v>
      </c>
      <c r="O39" s="366">
        <v>4070</v>
      </c>
      <c r="P39" s="366">
        <v>0</v>
      </c>
      <c r="Q39" s="367">
        <v>72</v>
      </c>
      <c r="R39" s="360"/>
      <c r="S39" s="367"/>
      <c r="T39" s="573">
        <f t="shared" si="5"/>
        <v>0</v>
      </c>
      <c r="U39" s="574">
        <f t="shared" si="6"/>
        <v>0</v>
      </c>
      <c r="V39" s="365"/>
      <c r="W39" s="366"/>
      <c r="X39" s="368"/>
      <c r="Y39" s="367"/>
      <c r="Z39" s="360"/>
      <c r="AA39" s="365"/>
      <c r="AB39" s="365"/>
      <c r="AC39" s="366"/>
      <c r="AD39" s="366"/>
      <c r="AE39" s="369"/>
      <c r="AF39" s="360"/>
      <c r="AG39" s="366"/>
    </row>
    <row r="40" spans="1:33" ht="15" customHeight="1">
      <c r="A40" s="353" t="s">
        <v>38</v>
      </c>
      <c r="B40" s="354" t="s">
        <v>332</v>
      </c>
      <c r="C40" s="355"/>
      <c r="D40" s="353">
        <v>101602</v>
      </c>
      <c r="E40" s="353">
        <v>10</v>
      </c>
      <c r="F40" s="571">
        <f t="shared" si="3"/>
        <v>50595</v>
      </c>
      <c r="G40" s="555">
        <f t="shared" si="4"/>
        <v>47409</v>
      </c>
      <c r="H40" s="365">
        <v>39334</v>
      </c>
      <c r="I40" s="366">
        <v>37114</v>
      </c>
      <c r="J40" s="365">
        <v>1323</v>
      </c>
      <c r="K40" s="367">
        <v>1407</v>
      </c>
      <c r="L40" s="360">
        <v>9551</v>
      </c>
      <c r="M40" s="365">
        <v>0</v>
      </c>
      <c r="N40" s="365">
        <v>387</v>
      </c>
      <c r="O40" s="366">
        <v>8813</v>
      </c>
      <c r="P40" s="366">
        <v>0</v>
      </c>
      <c r="Q40" s="367">
        <v>75</v>
      </c>
      <c r="R40" s="360"/>
      <c r="S40" s="367"/>
      <c r="T40" s="573">
        <f t="shared" si="5"/>
        <v>0</v>
      </c>
      <c r="U40" s="574">
        <f t="shared" si="6"/>
        <v>0</v>
      </c>
      <c r="V40" s="365"/>
      <c r="W40" s="366"/>
      <c r="X40" s="368"/>
      <c r="Y40" s="367"/>
      <c r="Z40" s="360"/>
      <c r="AA40" s="365"/>
      <c r="AB40" s="365"/>
      <c r="AC40" s="366"/>
      <c r="AD40" s="366"/>
      <c r="AE40" s="369"/>
      <c r="AF40" s="360"/>
      <c r="AG40" s="366"/>
    </row>
    <row r="41" spans="1:33" ht="15" customHeight="1">
      <c r="A41" s="353" t="s">
        <v>38</v>
      </c>
      <c r="B41" s="354" t="s">
        <v>333</v>
      </c>
      <c r="C41" s="355"/>
      <c r="D41" s="353">
        <v>102076</v>
      </c>
      <c r="E41" s="353">
        <v>10</v>
      </c>
      <c r="F41" s="571">
        <f t="shared" si="3"/>
        <v>63304</v>
      </c>
      <c r="G41" s="555">
        <f t="shared" si="4"/>
        <v>59737</v>
      </c>
      <c r="H41" s="365">
        <v>35028</v>
      </c>
      <c r="I41" s="366">
        <v>32898</v>
      </c>
      <c r="J41" s="365">
        <v>2902</v>
      </c>
      <c r="K41" s="367">
        <v>2846</v>
      </c>
      <c r="L41" s="360">
        <v>24704</v>
      </c>
      <c r="M41" s="365">
        <v>670</v>
      </c>
      <c r="N41" s="365">
        <v>0</v>
      </c>
      <c r="O41" s="366">
        <v>23702</v>
      </c>
      <c r="P41" s="366">
        <v>291</v>
      </c>
      <c r="Q41" s="367">
        <v>0</v>
      </c>
      <c r="R41" s="360"/>
      <c r="S41" s="367"/>
      <c r="T41" s="573">
        <f t="shared" si="5"/>
        <v>0</v>
      </c>
      <c r="U41" s="574">
        <f t="shared" si="6"/>
        <v>0</v>
      </c>
      <c r="V41" s="365"/>
      <c r="W41" s="366"/>
      <c r="X41" s="368"/>
      <c r="Y41" s="367"/>
      <c r="Z41" s="360"/>
      <c r="AA41" s="365"/>
      <c r="AB41" s="365"/>
      <c r="AC41" s="366"/>
      <c r="AD41" s="366"/>
      <c r="AE41" s="369"/>
      <c r="AF41" s="360"/>
      <c r="AG41" s="366"/>
    </row>
    <row r="42" spans="1:33" ht="15" customHeight="1">
      <c r="A42" s="353" t="s">
        <v>38</v>
      </c>
      <c r="B42" s="354" t="s">
        <v>334</v>
      </c>
      <c r="C42" s="355"/>
      <c r="D42" s="353">
        <v>102313</v>
      </c>
      <c r="E42" s="353">
        <v>12</v>
      </c>
      <c r="F42" s="571">
        <f t="shared" si="3"/>
        <v>49717</v>
      </c>
      <c r="G42" s="555">
        <f t="shared" si="4"/>
        <v>49502</v>
      </c>
      <c r="H42" s="365">
        <v>20000</v>
      </c>
      <c r="I42" s="366">
        <v>21454</v>
      </c>
      <c r="J42" s="365">
        <v>25977</v>
      </c>
      <c r="K42" s="367">
        <v>24646</v>
      </c>
      <c r="L42" s="360">
        <v>3740</v>
      </c>
      <c r="M42" s="365">
        <v>0</v>
      </c>
      <c r="N42" s="365">
        <v>0</v>
      </c>
      <c r="O42" s="366">
        <v>3402</v>
      </c>
      <c r="P42" s="366">
        <v>0</v>
      </c>
      <c r="Q42" s="367">
        <v>0</v>
      </c>
      <c r="R42" s="360"/>
      <c r="S42" s="367"/>
      <c r="T42" s="573">
        <f t="shared" si="5"/>
        <v>0</v>
      </c>
      <c r="U42" s="574">
        <f t="shared" si="6"/>
        <v>0</v>
      </c>
      <c r="V42" s="365"/>
      <c r="W42" s="366"/>
      <c r="X42" s="368"/>
      <c r="Y42" s="367"/>
      <c r="Z42" s="360"/>
      <c r="AA42" s="365"/>
      <c r="AB42" s="365"/>
      <c r="AC42" s="366"/>
      <c r="AD42" s="366"/>
      <c r="AE42" s="369"/>
      <c r="AF42" s="360"/>
      <c r="AG42" s="366"/>
    </row>
    <row r="43" spans="1:33" ht="15" customHeight="1">
      <c r="A43" s="353" t="s">
        <v>38</v>
      </c>
      <c r="B43" s="354" t="s">
        <v>335</v>
      </c>
      <c r="C43" s="355" t="s">
        <v>382</v>
      </c>
      <c r="D43" s="353">
        <v>101462</v>
      </c>
      <c r="E43" s="353">
        <v>13</v>
      </c>
      <c r="F43" s="571">
        <f t="shared" si="3"/>
        <v>35342</v>
      </c>
      <c r="G43" s="555">
        <f t="shared" si="4"/>
        <v>32146</v>
      </c>
      <c r="H43" s="365">
        <v>29932</v>
      </c>
      <c r="I43" s="366">
        <v>24198</v>
      </c>
      <c r="J43" s="365">
        <v>229</v>
      </c>
      <c r="K43" s="367">
        <v>671</v>
      </c>
      <c r="L43" s="360">
        <v>5181</v>
      </c>
      <c r="M43" s="365">
        <v>0</v>
      </c>
      <c r="N43" s="365">
        <v>0</v>
      </c>
      <c r="O43" s="366">
        <v>7277</v>
      </c>
      <c r="P43" s="366">
        <v>0</v>
      </c>
      <c r="Q43" s="367">
        <v>0</v>
      </c>
      <c r="R43" s="360"/>
      <c r="S43" s="367"/>
      <c r="T43" s="573">
        <f t="shared" si="5"/>
        <v>0</v>
      </c>
      <c r="U43" s="574">
        <f t="shared" si="6"/>
        <v>0</v>
      </c>
      <c r="V43" s="365"/>
      <c r="W43" s="366"/>
      <c r="X43" s="368"/>
      <c r="Y43" s="367"/>
      <c r="Z43" s="360"/>
      <c r="AA43" s="365"/>
      <c r="AB43" s="365"/>
      <c r="AC43" s="366"/>
      <c r="AD43" s="366"/>
      <c r="AE43" s="369"/>
      <c r="AF43" s="360"/>
      <c r="AG43" s="366"/>
    </row>
    <row r="44" spans="1:33" ht="15" customHeight="1">
      <c r="A44" s="353" t="s">
        <v>38</v>
      </c>
      <c r="B44" s="354" t="s">
        <v>336</v>
      </c>
      <c r="C44" s="355"/>
      <c r="D44" s="353">
        <v>101471</v>
      </c>
      <c r="E44" s="353">
        <v>13</v>
      </c>
      <c r="F44" s="571">
        <f t="shared" si="3"/>
        <v>21172</v>
      </c>
      <c r="G44" s="555">
        <f t="shared" si="4"/>
        <v>20136</v>
      </c>
      <c r="H44" s="365">
        <v>6390</v>
      </c>
      <c r="I44" s="366">
        <v>6321</v>
      </c>
      <c r="J44" s="365">
        <v>14782</v>
      </c>
      <c r="K44" s="367">
        <v>13815</v>
      </c>
      <c r="L44" s="360">
        <v>0</v>
      </c>
      <c r="M44" s="365">
        <v>0</v>
      </c>
      <c r="N44" s="365">
        <v>0</v>
      </c>
      <c r="O44" s="366">
        <v>0</v>
      </c>
      <c r="P44" s="366">
        <v>0</v>
      </c>
      <c r="Q44" s="367">
        <v>0</v>
      </c>
      <c r="R44" s="360"/>
      <c r="S44" s="367"/>
      <c r="T44" s="573">
        <f t="shared" si="5"/>
        <v>0</v>
      </c>
      <c r="U44" s="574">
        <f t="shared" si="6"/>
        <v>0</v>
      </c>
      <c r="V44" s="365"/>
      <c r="W44" s="366"/>
      <c r="X44" s="368"/>
      <c r="Y44" s="367"/>
      <c r="Z44" s="360"/>
      <c r="AA44" s="365"/>
      <c r="AB44" s="365"/>
      <c r="AC44" s="366"/>
      <c r="AD44" s="366"/>
      <c r="AE44" s="369"/>
      <c r="AF44" s="360"/>
      <c r="AG44" s="366"/>
    </row>
    <row r="45" spans="1:33" ht="15" customHeight="1">
      <c r="A45" s="353" t="s">
        <v>38</v>
      </c>
      <c r="B45" s="354" t="s">
        <v>337</v>
      </c>
      <c r="C45" s="355"/>
      <c r="D45" s="353">
        <v>101994</v>
      </c>
      <c r="E45" s="353">
        <v>13</v>
      </c>
      <c r="F45" s="571">
        <f t="shared" si="3"/>
        <v>22821</v>
      </c>
      <c r="G45" s="555">
        <f t="shared" si="4"/>
        <v>21773</v>
      </c>
      <c r="H45" s="365">
        <v>20039</v>
      </c>
      <c r="I45" s="366">
        <v>18744</v>
      </c>
      <c r="J45" s="365">
        <v>1507</v>
      </c>
      <c r="K45" s="367">
        <v>1318</v>
      </c>
      <c r="L45" s="360">
        <v>1275</v>
      </c>
      <c r="M45" s="365">
        <v>0</v>
      </c>
      <c r="N45" s="365">
        <v>0</v>
      </c>
      <c r="O45" s="366">
        <v>1711</v>
      </c>
      <c r="P45" s="366">
        <v>0</v>
      </c>
      <c r="Q45" s="367">
        <v>0</v>
      </c>
      <c r="R45" s="360"/>
      <c r="S45" s="367"/>
      <c r="T45" s="573">
        <f t="shared" si="5"/>
        <v>0</v>
      </c>
      <c r="U45" s="574">
        <f t="shared" si="6"/>
        <v>0</v>
      </c>
      <c r="V45" s="365"/>
      <c r="W45" s="366"/>
      <c r="X45" s="368"/>
      <c r="Y45" s="367"/>
      <c r="Z45" s="360"/>
      <c r="AA45" s="365"/>
      <c r="AB45" s="365"/>
      <c r="AC45" s="366"/>
      <c r="AD45" s="366"/>
      <c r="AE45" s="369"/>
      <c r="AF45" s="360"/>
      <c r="AG45" s="366"/>
    </row>
    <row r="46" spans="1:33" ht="15" customHeight="1">
      <c r="A46" s="311" t="s">
        <v>40</v>
      </c>
      <c r="B46" s="312" t="s">
        <v>41</v>
      </c>
      <c r="C46" s="347"/>
      <c r="D46" s="311">
        <v>106397</v>
      </c>
      <c r="E46" s="313">
        <v>1</v>
      </c>
      <c r="F46" s="571">
        <f t="shared" si="3"/>
        <v>473313</v>
      </c>
      <c r="G46" s="555">
        <f t="shared" si="4"/>
        <v>525893</v>
      </c>
      <c r="H46" s="365">
        <v>446738</v>
      </c>
      <c r="I46" s="366">
        <v>492861</v>
      </c>
      <c r="J46" s="365">
        <v>11466</v>
      </c>
      <c r="K46" s="367">
        <v>10230</v>
      </c>
      <c r="L46" s="360">
        <v>14325</v>
      </c>
      <c r="M46" s="365">
        <v>604</v>
      </c>
      <c r="N46" s="365">
        <v>180</v>
      </c>
      <c r="O46" s="366">
        <v>14694</v>
      </c>
      <c r="P46" s="366">
        <v>812</v>
      </c>
      <c r="Q46" s="367">
        <v>48</v>
      </c>
      <c r="R46" s="360"/>
      <c r="S46" s="367">
        <v>7248</v>
      </c>
      <c r="T46" s="573">
        <f t="shared" si="5"/>
        <v>75584</v>
      </c>
      <c r="U46" s="574">
        <f t="shared" si="6"/>
        <v>77183</v>
      </c>
      <c r="V46" s="365">
        <v>57001</v>
      </c>
      <c r="W46" s="366">
        <v>57218</v>
      </c>
      <c r="X46" s="368">
        <v>3516</v>
      </c>
      <c r="Y46" s="367">
        <v>3337</v>
      </c>
      <c r="Z46" s="360">
        <v>11380</v>
      </c>
      <c r="AA46" s="365">
        <v>18</v>
      </c>
      <c r="AB46" s="365">
        <v>3669</v>
      </c>
      <c r="AC46" s="366">
        <v>15458</v>
      </c>
      <c r="AD46" s="366">
        <v>0</v>
      </c>
      <c r="AE46" s="369">
        <v>1170</v>
      </c>
      <c r="AF46" s="360"/>
      <c r="AG46" s="366">
        <v>0</v>
      </c>
    </row>
    <row r="47" spans="1:33" ht="15" customHeight="1">
      <c r="A47" s="311" t="s">
        <v>40</v>
      </c>
      <c r="B47" s="312" t="s">
        <v>42</v>
      </c>
      <c r="C47" s="347"/>
      <c r="D47" s="311">
        <v>106458</v>
      </c>
      <c r="E47" s="313">
        <v>3</v>
      </c>
      <c r="F47" s="571">
        <f t="shared" si="3"/>
        <v>271259</v>
      </c>
      <c r="G47" s="555">
        <f t="shared" si="4"/>
        <v>276297</v>
      </c>
      <c r="H47" s="365">
        <v>193882</v>
      </c>
      <c r="I47" s="366">
        <v>192962</v>
      </c>
      <c r="J47" s="365">
        <v>25846</v>
      </c>
      <c r="K47" s="367">
        <v>24717</v>
      </c>
      <c r="L47" s="360">
        <v>47081</v>
      </c>
      <c r="M47" s="365">
        <v>4450</v>
      </c>
      <c r="N47" s="365">
        <v>0</v>
      </c>
      <c r="O47" s="366">
        <v>54383</v>
      </c>
      <c r="P47" s="366">
        <v>4124</v>
      </c>
      <c r="Q47" s="367">
        <v>111</v>
      </c>
      <c r="R47" s="360"/>
      <c r="S47" s="367"/>
      <c r="T47" s="573">
        <f t="shared" si="5"/>
        <v>69309</v>
      </c>
      <c r="U47" s="574">
        <f t="shared" si="6"/>
        <v>82879</v>
      </c>
      <c r="V47" s="365">
        <v>23853</v>
      </c>
      <c r="W47" s="366">
        <v>24591</v>
      </c>
      <c r="X47" s="368">
        <v>138</v>
      </c>
      <c r="Y47" s="367">
        <v>93</v>
      </c>
      <c r="Z47" s="360">
        <v>44950</v>
      </c>
      <c r="AA47" s="365">
        <v>263</v>
      </c>
      <c r="AB47" s="365">
        <v>105</v>
      </c>
      <c r="AC47" s="366">
        <v>58024</v>
      </c>
      <c r="AD47" s="366">
        <v>66</v>
      </c>
      <c r="AE47" s="369">
        <v>105</v>
      </c>
      <c r="AF47" s="360"/>
      <c r="AG47" s="366">
        <v>0</v>
      </c>
    </row>
    <row r="48" spans="1:33" ht="15" customHeight="1">
      <c r="A48" s="311" t="s">
        <v>40</v>
      </c>
      <c r="B48" s="312" t="s">
        <v>43</v>
      </c>
      <c r="C48" s="347"/>
      <c r="D48" s="311">
        <v>106245</v>
      </c>
      <c r="E48" s="313">
        <v>3</v>
      </c>
      <c r="F48" s="571">
        <f t="shared" si="3"/>
        <v>232943</v>
      </c>
      <c r="G48" s="555">
        <f t="shared" si="4"/>
        <v>237224</v>
      </c>
      <c r="H48" s="365">
        <v>156894</v>
      </c>
      <c r="I48" s="366">
        <v>158298</v>
      </c>
      <c r="J48" s="365">
        <v>17874</v>
      </c>
      <c r="K48" s="367">
        <v>18850</v>
      </c>
      <c r="L48" s="360">
        <v>58175</v>
      </c>
      <c r="M48" s="365"/>
      <c r="N48" s="365">
        <v>0</v>
      </c>
      <c r="O48" s="366">
        <v>60076</v>
      </c>
      <c r="P48" s="366">
        <v>0</v>
      </c>
      <c r="Q48" s="367">
        <v>0</v>
      </c>
      <c r="R48" s="360"/>
      <c r="S48" s="367"/>
      <c r="T48" s="573">
        <f t="shared" si="5"/>
        <v>51489</v>
      </c>
      <c r="U48" s="574">
        <f t="shared" si="6"/>
        <v>50303</v>
      </c>
      <c r="V48" s="365">
        <v>25970</v>
      </c>
      <c r="W48" s="366">
        <v>25735</v>
      </c>
      <c r="X48" s="368">
        <v>13569</v>
      </c>
      <c r="Y48" s="367">
        <v>13455</v>
      </c>
      <c r="Z48" s="360">
        <v>11950</v>
      </c>
      <c r="AA48" s="365">
        <v>0</v>
      </c>
      <c r="AB48" s="365">
        <v>0</v>
      </c>
      <c r="AC48" s="366">
        <v>11113</v>
      </c>
      <c r="AD48" s="366">
        <v>0</v>
      </c>
      <c r="AE48" s="369">
        <v>0</v>
      </c>
      <c r="AF48" s="360"/>
      <c r="AG48" s="366">
        <v>0</v>
      </c>
    </row>
    <row r="49" spans="1:33" ht="15" customHeight="1">
      <c r="A49" s="311" t="s">
        <v>40</v>
      </c>
      <c r="B49" s="312" t="s">
        <v>44</v>
      </c>
      <c r="C49" s="347"/>
      <c r="D49" s="311">
        <v>106704</v>
      </c>
      <c r="E49" s="313">
        <v>3</v>
      </c>
      <c r="F49" s="571">
        <f t="shared" si="3"/>
        <v>274416</v>
      </c>
      <c r="G49" s="555">
        <f t="shared" si="4"/>
        <v>272034</v>
      </c>
      <c r="H49" s="365">
        <v>258786</v>
      </c>
      <c r="I49" s="366">
        <v>258206</v>
      </c>
      <c r="J49" s="365">
        <v>6177</v>
      </c>
      <c r="K49" s="367">
        <v>4156</v>
      </c>
      <c r="L49" s="360">
        <v>4513</v>
      </c>
      <c r="M49" s="365">
        <v>4240</v>
      </c>
      <c r="N49" s="365">
        <v>0</v>
      </c>
      <c r="O49" s="366">
        <v>9096</v>
      </c>
      <c r="P49" s="366">
        <v>54</v>
      </c>
      <c r="Q49" s="367">
        <v>0</v>
      </c>
      <c r="R49" s="360">
        <v>700</v>
      </c>
      <c r="S49" s="367">
        <v>522</v>
      </c>
      <c r="T49" s="573">
        <f t="shared" si="5"/>
        <v>32999</v>
      </c>
      <c r="U49" s="574">
        <f t="shared" si="6"/>
        <v>33007</v>
      </c>
      <c r="V49" s="365">
        <v>23605</v>
      </c>
      <c r="W49" s="366">
        <v>23206</v>
      </c>
      <c r="X49" s="368">
        <v>1662</v>
      </c>
      <c r="Y49" s="367">
        <v>780</v>
      </c>
      <c r="Z49" s="360">
        <v>3406</v>
      </c>
      <c r="AA49" s="365">
        <v>4326</v>
      </c>
      <c r="AB49" s="365">
        <v>0</v>
      </c>
      <c r="AC49" s="366">
        <v>6369</v>
      </c>
      <c r="AD49" s="366">
        <v>2652</v>
      </c>
      <c r="AE49" s="369">
        <v>0</v>
      </c>
      <c r="AF49" s="360"/>
      <c r="AG49" s="366">
        <v>0</v>
      </c>
    </row>
    <row r="50" spans="1:33" ht="15" customHeight="1">
      <c r="A50" s="311" t="s">
        <v>40</v>
      </c>
      <c r="B50" s="312" t="s">
        <v>45</v>
      </c>
      <c r="C50" s="347" t="s">
        <v>293</v>
      </c>
      <c r="D50" s="311">
        <v>106467</v>
      </c>
      <c r="E50" s="313">
        <v>4</v>
      </c>
      <c r="F50" s="571">
        <f t="shared" si="3"/>
        <v>208684</v>
      </c>
      <c r="G50" s="555">
        <f t="shared" si="4"/>
        <v>218204</v>
      </c>
      <c r="H50" s="365">
        <v>163408</v>
      </c>
      <c r="I50" s="366">
        <v>163618</v>
      </c>
      <c r="J50" s="365">
        <v>14672</v>
      </c>
      <c r="K50" s="367">
        <v>15756</v>
      </c>
      <c r="L50" s="360">
        <v>30604</v>
      </c>
      <c r="M50" s="365"/>
      <c r="N50" s="365">
        <v>0</v>
      </c>
      <c r="O50" s="366">
        <v>38830</v>
      </c>
      <c r="P50" s="366">
        <v>0</v>
      </c>
      <c r="Q50" s="367">
        <v>0</v>
      </c>
      <c r="R50" s="360"/>
      <c r="S50" s="367"/>
      <c r="T50" s="573">
        <f t="shared" si="5"/>
        <v>11684</v>
      </c>
      <c r="U50" s="574">
        <f t="shared" si="6"/>
        <v>13308</v>
      </c>
      <c r="V50" s="365">
        <v>5676</v>
      </c>
      <c r="W50" s="366">
        <v>5738</v>
      </c>
      <c r="X50" s="368">
        <v>1046</v>
      </c>
      <c r="Y50" s="367">
        <v>1371</v>
      </c>
      <c r="Z50" s="360">
        <v>4770</v>
      </c>
      <c r="AA50" s="365">
        <v>192</v>
      </c>
      <c r="AB50" s="365">
        <v>0</v>
      </c>
      <c r="AC50" s="366">
        <v>6181</v>
      </c>
      <c r="AD50" s="366">
        <v>18</v>
      </c>
      <c r="AE50" s="369">
        <v>0</v>
      </c>
      <c r="AF50" s="360"/>
      <c r="AG50" s="366">
        <v>0</v>
      </c>
    </row>
    <row r="51" spans="1:33" ht="15" customHeight="1">
      <c r="A51" s="311" t="s">
        <v>40</v>
      </c>
      <c r="B51" s="312" t="s">
        <v>46</v>
      </c>
      <c r="C51" s="347"/>
      <c r="D51" s="311">
        <v>107071</v>
      </c>
      <c r="E51" s="313">
        <v>4</v>
      </c>
      <c r="F51" s="571">
        <f t="shared" si="3"/>
        <v>93335</v>
      </c>
      <c r="G51" s="555">
        <f t="shared" si="4"/>
        <v>98042</v>
      </c>
      <c r="H51" s="365">
        <v>85117</v>
      </c>
      <c r="I51" s="366">
        <v>88898</v>
      </c>
      <c r="J51" s="365">
        <v>723</v>
      </c>
      <c r="K51" s="367">
        <v>910</v>
      </c>
      <c r="L51" s="360">
        <v>3567</v>
      </c>
      <c r="M51" s="365">
        <v>3224</v>
      </c>
      <c r="N51" s="365">
        <v>704</v>
      </c>
      <c r="O51" s="366">
        <v>8234</v>
      </c>
      <c r="P51" s="366">
        <v>0</v>
      </c>
      <c r="Q51" s="367">
        <v>0</v>
      </c>
      <c r="R51" s="360"/>
      <c r="S51" s="367"/>
      <c r="T51" s="573">
        <f t="shared" si="5"/>
        <v>8648</v>
      </c>
      <c r="U51" s="574">
        <f t="shared" si="6"/>
        <v>7980</v>
      </c>
      <c r="V51" s="365">
        <v>7097</v>
      </c>
      <c r="W51" s="366">
        <v>6429</v>
      </c>
      <c r="X51" s="368">
        <v>1197</v>
      </c>
      <c r="Y51" s="367">
        <v>1065</v>
      </c>
      <c r="Z51" s="360">
        <v>78</v>
      </c>
      <c r="AA51" s="365">
        <v>255</v>
      </c>
      <c r="AB51" s="365">
        <v>21</v>
      </c>
      <c r="AC51" s="366">
        <v>486</v>
      </c>
      <c r="AD51" s="366">
        <v>0</v>
      </c>
      <c r="AE51" s="369">
        <v>0</v>
      </c>
      <c r="AF51" s="360"/>
      <c r="AG51" s="366">
        <v>0</v>
      </c>
    </row>
    <row r="52" spans="1:33" ht="15" customHeight="1">
      <c r="A52" s="311" t="s">
        <v>40</v>
      </c>
      <c r="B52" s="312" t="s">
        <v>47</v>
      </c>
      <c r="C52" s="351" t="s">
        <v>294</v>
      </c>
      <c r="D52" s="311">
        <v>107983</v>
      </c>
      <c r="E52" s="352">
        <v>4</v>
      </c>
      <c r="F52" s="571">
        <f t="shared" si="3"/>
        <v>81946</v>
      </c>
      <c r="G52" s="555">
        <f t="shared" si="4"/>
        <v>83545</v>
      </c>
      <c r="H52" s="365">
        <v>72159</v>
      </c>
      <c r="I52" s="366">
        <v>73756</v>
      </c>
      <c r="J52" s="365">
        <v>2199</v>
      </c>
      <c r="K52" s="367">
        <v>1819</v>
      </c>
      <c r="L52" s="360">
        <v>7405</v>
      </c>
      <c r="M52" s="365">
        <v>183</v>
      </c>
      <c r="N52" s="365">
        <v>0</v>
      </c>
      <c r="O52" s="366">
        <v>7904</v>
      </c>
      <c r="P52" s="366">
        <v>66</v>
      </c>
      <c r="Q52" s="367">
        <v>0</v>
      </c>
      <c r="R52" s="360"/>
      <c r="S52" s="367"/>
      <c r="T52" s="573">
        <f t="shared" si="5"/>
        <v>8038</v>
      </c>
      <c r="U52" s="574">
        <f t="shared" si="6"/>
        <v>7548</v>
      </c>
      <c r="V52" s="365">
        <v>2720</v>
      </c>
      <c r="W52" s="366">
        <v>2508</v>
      </c>
      <c r="X52" s="368">
        <v>224</v>
      </c>
      <c r="Y52" s="367">
        <v>201</v>
      </c>
      <c r="Z52" s="360">
        <v>5094</v>
      </c>
      <c r="AA52" s="365">
        <v>0</v>
      </c>
      <c r="AB52" s="365">
        <v>0</v>
      </c>
      <c r="AC52" s="366">
        <v>4839</v>
      </c>
      <c r="AD52" s="366">
        <v>0</v>
      </c>
      <c r="AE52" s="369">
        <v>0</v>
      </c>
      <c r="AF52" s="360"/>
      <c r="AG52" s="366">
        <v>0</v>
      </c>
    </row>
    <row r="53" spans="1:33" ht="15" customHeight="1">
      <c r="A53" s="311" t="s">
        <v>40</v>
      </c>
      <c r="B53" s="312" t="s">
        <v>48</v>
      </c>
      <c r="C53" s="347"/>
      <c r="D53" s="311">
        <v>106485</v>
      </c>
      <c r="E53" s="313">
        <v>5</v>
      </c>
      <c r="F53" s="571">
        <f t="shared" si="3"/>
        <v>70587</v>
      </c>
      <c r="G53" s="555">
        <f t="shared" si="4"/>
        <v>72002</v>
      </c>
      <c r="H53" s="365">
        <v>59569</v>
      </c>
      <c r="I53" s="366">
        <v>59147</v>
      </c>
      <c r="J53" s="365">
        <v>1124</v>
      </c>
      <c r="K53" s="367">
        <v>1032</v>
      </c>
      <c r="L53" s="360">
        <v>7461</v>
      </c>
      <c r="M53" s="365">
        <v>927</v>
      </c>
      <c r="N53" s="365">
        <v>1506</v>
      </c>
      <c r="O53" s="366">
        <v>8475</v>
      </c>
      <c r="P53" s="366">
        <v>3342</v>
      </c>
      <c r="Q53" s="367">
        <v>0</v>
      </c>
      <c r="R53" s="360"/>
      <c r="S53" s="367">
        <v>6</v>
      </c>
      <c r="T53" s="573">
        <f t="shared" si="5"/>
        <v>2591</v>
      </c>
      <c r="U53" s="574">
        <f t="shared" si="6"/>
        <v>2079</v>
      </c>
      <c r="V53" s="365">
        <v>1290</v>
      </c>
      <c r="W53" s="366">
        <v>1019</v>
      </c>
      <c r="X53" s="368">
        <v>15</v>
      </c>
      <c r="Y53" s="367">
        <v>40</v>
      </c>
      <c r="Z53" s="360">
        <v>1286</v>
      </c>
      <c r="AA53" s="365">
        <v>0</v>
      </c>
      <c r="AB53" s="365">
        <v>0</v>
      </c>
      <c r="AC53" s="366">
        <v>1020</v>
      </c>
      <c r="AD53" s="366">
        <v>0</v>
      </c>
      <c r="AE53" s="369">
        <v>0</v>
      </c>
      <c r="AF53" s="360"/>
      <c r="AG53" s="366">
        <v>0</v>
      </c>
    </row>
    <row r="54" spans="1:33" ht="15" customHeight="1">
      <c r="A54" s="311" t="s">
        <v>40</v>
      </c>
      <c r="B54" s="312" t="s">
        <v>49</v>
      </c>
      <c r="C54" s="347"/>
      <c r="D54" s="311">
        <v>108092</v>
      </c>
      <c r="E54" s="313">
        <v>6</v>
      </c>
      <c r="F54" s="571">
        <f t="shared" si="3"/>
        <v>188801</v>
      </c>
      <c r="G54" s="555">
        <f t="shared" si="4"/>
        <v>191912</v>
      </c>
      <c r="H54" s="365">
        <v>163192</v>
      </c>
      <c r="I54" s="366">
        <v>164036</v>
      </c>
      <c r="J54" s="365">
        <v>2253</v>
      </c>
      <c r="K54" s="367">
        <v>2533</v>
      </c>
      <c r="L54" s="360">
        <v>22900</v>
      </c>
      <c r="M54" s="365">
        <v>456</v>
      </c>
      <c r="N54" s="365">
        <v>0</v>
      </c>
      <c r="O54" s="366">
        <v>24758</v>
      </c>
      <c r="P54" s="366">
        <v>585</v>
      </c>
      <c r="Q54" s="367">
        <v>0</v>
      </c>
      <c r="R54" s="360"/>
      <c r="S54" s="367"/>
      <c r="T54" s="573">
        <f t="shared" si="5"/>
        <v>0</v>
      </c>
      <c r="U54" s="574">
        <f t="shared" si="6"/>
        <v>0</v>
      </c>
      <c r="V54" s="365">
        <v>0</v>
      </c>
      <c r="W54" s="366">
        <v>0</v>
      </c>
      <c r="X54" s="368">
        <v>0</v>
      </c>
      <c r="Y54" s="367">
        <v>0</v>
      </c>
      <c r="Z54" s="360">
        <v>0</v>
      </c>
      <c r="AA54" s="365">
        <v>0</v>
      </c>
      <c r="AB54" s="365">
        <v>0</v>
      </c>
      <c r="AC54" s="366">
        <v>0</v>
      </c>
      <c r="AD54" s="366">
        <v>0</v>
      </c>
      <c r="AE54" s="369">
        <v>0</v>
      </c>
      <c r="AF54" s="360"/>
      <c r="AG54" s="366">
        <v>0</v>
      </c>
    </row>
    <row r="55" spans="1:33" ht="15" customHeight="1">
      <c r="A55" s="311" t="s">
        <v>40</v>
      </c>
      <c r="B55" s="312" t="s">
        <v>50</v>
      </c>
      <c r="C55" s="347"/>
      <c r="D55" s="311">
        <v>106412</v>
      </c>
      <c r="E55" s="313">
        <v>6</v>
      </c>
      <c r="F55" s="571">
        <f t="shared" si="3"/>
        <v>95470</v>
      </c>
      <c r="G55" s="555">
        <f t="shared" si="4"/>
        <v>88755</v>
      </c>
      <c r="H55" s="365">
        <v>87105</v>
      </c>
      <c r="I55" s="366">
        <v>80929</v>
      </c>
      <c r="J55" s="365">
        <v>1627</v>
      </c>
      <c r="K55" s="367">
        <v>726</v>
      </c>
      <c r="L55" s="360"/>
      <c r="M55" s="365">
        <v>6738</v>
      </c>
      <c r="N55" s="365">
        <v>0</v>
      </c>
      <c r="O55" s="366">
        <v>3210</v>
      </c>
      <c r="P55" s="366">
        <v>3890</v>
      </c>
      <c r="Q55" s="367">
        <v>0</v>
      </c>
      <c r="R55" s="360"/>
      <c r="S55" s="367"/>
      <c r="T55" s="573">
        <f t="shared" si="5"/>
        <v>2132</v>
      </c>
      <c r="U55" s="574">
        <f t="shared" si="6"/>
        <v>1885</v>
      </c>
      <c r="V55" s="365">
        <v>1715</v>
      </c>
      <c r="W55" s="366">
        <v>1630</v>
      </c>
      <c r="X55" s="368">
        <v>0</v>
      </c>
      <c r="Y55" s="367">
        <v>0</v>
      </c>
      <c r="Z55" s="360"/>
      <c r="AA55" s="365">
        <v>417</v>
      </c>
      <c r="AB55" s="365"/>
      <c r="AC55" s="366">
        <v>114</v>
      </c>
      <c r="AD55" s="366">
        <v>141</v>
      </c>
      <c r="AE55" s="369">
        <v>0</v>
      </c>
      <c r="AF55" s="360"/>
      <c r="AG55" s="366">
        <v>0</v>
      </c>
    </row>
    <row r="56" spans="1:33" ht="15" customHeight="1">
      <c r="A56" s="311" t="s">
        <v>40</v>
      </c>
      <c r="B56" s="312" t="s">
        <v>53</v>
      </c>
      <c r="C56" s="351" t="s">
        <v>295</v>
      </c>
      <c r="D56" s="311">
        <v>367459</v>
      </c>
      <c r="E56" s="352">
        <v>8</v>
      </c>
      <c r="F56" s="571">
        <f t="shared" si="3"/>
        <v>171087</v>
      </c>
      <c r="G56" s="555">
        <f t="shared" si="4"/>
        <v>174073</v>
      </c>
      <c r="H56" s="365">
        <v>116236</v>
      </c>
      <c r="I56" s="366">
        <v>116184</v>
      </c>
      <c r="J56" s="365">
        <v>19775</v>
      </c>
      <c r="K56" s="367">
        <v>22131</v>
      </c>
      <c r="L56" s="360">
        <v>16044</v>
      </c>
      <c r="M56" s="365">
        <v>18149</v>
      </c>
      <c r="N56" s="365">
        <v>883</v>
      </c>
      <c r="O56" s="366">
        <v>35650</v>
      </c>
      <c r="P56" s="366">
        <v>108</v>
      </c>
      <c r="Q56" s="367">
        <v>0</v>
      </c>
      <c r="R56" s="360"/>
      <c r="S56" s="367"/>
      <c r="T56" s="573">
        <f t="shared" si="5"/>
        <v>0</v>
      </c>
      <c r="U56" s="574">
        <f t="shared" si="6"/>
        <v>0</v>
      </c>
      <c r="V56" s="365">
        <v>0</v>
      </c>
      <c r="W56" s="366"/>
      <c r="X56" s="368">
        <v>0</v>
      </c>
      <c r="Y56" s="367"/>
      <c r="Z56" s="360"/>
      <c r="AA56" s="365"/>
      <c r="AB56" s="365"/>
      <c r="AC56" s="366"/>
      <c r="AD56" s="366"/>
      <c r="AE56" s="369"/>
      <c r="AF56" s="360"/>
      <c r="AG56" s="366"/>
    </row>
    <row r="57" spans="1:33" ht="15" customHeight="1">
      <c r="A57" s="314" t="s">
        <v>40</v>
      </c>
      <c r="B57" s="315" t="s">
        <v>51</v>
      </c>
      <c r="C57" s="348"/>
      <c r="D57" s="314">
        <v>107664</v>
      </c>
      <c r="E57" s="316">
        <v>8</v>
      </c>
      <c r="F57" s="571">
        <f t="shared" si="3"/>
        <v>246096</v>
      </c>
      <c r="G57" s="555">
        <f t="shared" si="4"/>
        <v>261671</v>
      </c>
      <c r="H57" s="365">
        <v>168189</v>
      </c>
      <c r="I57" s="366">
        <v>176073</v>
      </c>
      <c r="J57" s="365">
        <v>0</v>
      </c>
      <c r="K57" s="367">
        <v>0</v>
      </c>
      <c r="L57" s="360">
        <v>77907</v>
      </c>
      <c r="M57" s="365"/>
      <c r="N57" s="365">
        <v>0</v>
      </c>
      <c r="O57" s="366">
        <v>85598</v>
      </c>
      <c r="P57" s="366">
        <v>0</v>
      </c>
      <c r="Q57" s="367">
        <v>0</v>
      </c>
      <c r="R57" s="360"/>
      <c r="S57" s="367"/>
      <c r="T57" s="573">
        <f t="shared" si="5"/>
        <v>0</v>
      </c>
      <c r="U57" s="574">
        <f t="shared" si="6"/>
        <v>0</v>
      </c>
      <c r="V57" s="365">
        <v>0</v>
      </c>
      <c r="W57" s="366"/>
      <c r="X57" s="368">
        <v>0</v>
      </c>
      <c r="Y57" s="367"/>
      <c r="Z57" s="360"/>
      <c r="AA57" s="365"/>
      <c r="AB57" s="365"/>
      <c r="AC57" s="366"/>
      <c r="AD57" s="366"/>
      <c r="AE57" s="369"/>
      <c r="AF57" s="360"/>
      <c r="AG57" s="366"/>
    </row>
    <row r="58" spans="1:33" ht="15" customHeight="1">
      <c r="A58" s="311" t="s">
        <v>40</v>
      </c>
      <c r="B58" s="312" t="s">
        <v>52</v>
      </c>
      <c r="C58" s="347"/>
      <c r="D58" s="311">
        <v>106449</v>
      </c>
      <c r="E58" s="313">
        <v>9</v>
      </c>
      <c r="F58" s="571">
        <f t="shared" si="3"/>
        <v>106220</v>
      </c>
      <c r="G58" s="555">
        <f t="shared" si="4"/>
        <v>106239</v>
      </c>
      <c r="H58" s="365">
        <v>75881</v>
      </c>
      <c r="I58" s="366">
        <v>73832</v>
      </c>
      <c r="J58" s="365">
        <v>7938</v>
      </c>
      <c r="K58" s="367">
        <v>9103</v>
      </c>
      <c r="L58" s="360">
        <v>22401</v>
      </c>
      <c r="M58" s="365"/>
      <c r="N58" s="365">
        <v>0</v>
      </c>
      <c r="O58" s="366">
        <v>23304</v>
      </c>
      <c r="P58" s="366">
        <v>0</v>
      </c>
      <c r="Q58" s="367">
        <v>0</v>
      </c>
      <c r="R58" s="360"/>
      <c r="S58" s="367"/>
      <c r="T58" s="573">
        <f t="shared" si="5"/>
        <v>0</v>
      </c>
      <c r="U58" s="574">
        <f t="shared" si="6"/>
        <v>0</v>
      </c>
      <c r="V58" s="365">
        <v>0</v>
      </c>
      <c r="W58" s="366"/>
      <c r="X58" s="368">
        <v>0</v>
      </c>
      <c r="Y58" s="367"/>
      <c r="Z58" s="360"/>
      <c r="AA58" s="365"/>
      <c r="AB58" s="365"/>
      <c r="AC58" s="366"/>
      <c r="AD58" s="366"/>
      <c r="AE58" s="369"/>
      <c r="AF58" s="360"/>
      <c r="AG58" s="366"/>
    </row>
    <row r="59" spans="1:33" ht="15" customHeight="1">
      <c r="A59" s="311" t="s">
        <v>40</v>
      </c>
      <c r="B59" s="349" t="s">
        <v>61</v>
      </c>
      <c r="C59" s="350"/>
      <c r="D59" s="311">
        <v>106980</v>
      </c>
      <c r="E59" s="313">
        <v>9</v>
      </c>
      <c r="F59" s="571">
        <f t="shared" si="3"/>
        <v>86836</v>
      </c>
      <c r="G59" s="555">
        <f t="shared" si="4"/>
        <v>86676</v>
      </c>
      <c r="H59" s="365">
        <v>74118</v>
      </c>
      <c r="I59" s="366">
        <v>75458</v>
      </c>
      <c r="J59" s="365">
        <v>3577</v>
      </c>
      <c r="K59" s="367">
        <v>0</v>
      </c>
      <c r="L59" s="360">
        <v>3980</v>
      </c>
      <c r="M59" s="365">
        <v>5161</v>
      </c>
      <c r="N59" s="365"/>
      <c r="O59" s="366">
        <v>11218</v>
      </c>
      <c r="P59" s="366">
        <v>0</v>
      </c>
      <c r="Q59" s="367">
        <v>0</v>
      </c>
      <c r="R59" s="360"/>
      <c r="S59" s="367"/>
      <c r="T59" s="573">
        <f t="shared" si="5"/>
        <v>0</v>
      </c>
      <c r="U59" s="574">
        <f t="shared" si="6"/>
        <v>0</v>
      </c>
      <c r="V59" s="365">
        <v>0</v>
      </c>
      <c r="W59" s="366"/>
      <c r="X59" s="368">
        <v>0</v>
      </c>
      <c r="Y59" s="367"/>
      <c r="Z59" s="360"/>
      <c r="AA59" s="365"/>
      <c r="AB59" s="365"/>
      <c r="AC59" s="366"/>
      <c r="AD59" s="366"/>
      <c r="AE59" s="369"/>
      <c r="AF59" s="360"/>
      <c r="AG59" s="366"/>
    </row>
    <row r="60" spans="1:33" ht="15" customHeight="1">
      <c r="A60" s="311" t="s">
        <v>40</v>
      </c>
      <c r="B60" s="312" t="s">
        <v>54</v>
      </c>
      <c r="C60" s="347"/>
      <c r="D60" s="311">
        <v>107327</v>
      </c>
      <c r="E60" s="313">
        <v>10</v>
      </c>
      <c r="F60" s="571">
        <f t="shared" si="3"/>
        <v>45187</v>
      </c>
      <c r="G60" s="555">
        <f t="shared" si="4"/>
        <v>41015</v>
      </c>
      <c r="H60" s="365">
        <v>33733</v>
      </c>
      <c r="I60" s="366">
        <v>31212</v>
      </c>
      <c r="J60" s="365">
        <v>3649</v>
      </c>
      <c r="K60" s="367">
        <v>3522</v>
      </c>
      <c r="L60" s="360">
        <v>6854</v>
      </c>
      <c r="M60" s="365">
        <v>951</v>
      </c>
      <c r="N60" s="365">
        <v>0</v>
      </c>
      <c r="O60" s="366">
        <v>5795</v>
      </c>
      <c r="P60" s="366">
        <v>486</v>
      </c>
      <c r="Q60" s="367">
        <v>0</v>
      </c>
      <c r="R60" s="360"/>
      <c r="S60" s="367"/>
      <c r="T60" s="573">
        <f t="shared" si="5"/>
        <v>0</v>
      </c>
      <c r="U60" s="574">
        <f t="shared" si="6"/>
        <v>0</v>
      </c>
      <c r="V60" s="365">
        <v>0</v>
      </c>
      <c r="W60" s="366"/>
      <c r="X60" s="368">
        <v>0</v>
      </c>
      <c r="Y60" s="367"/>
      <c r="Z60" s="360"/>
      <c r="AA60" s="365"/>
      <c r="AB60" s="365"/>
      <c r="AC60" s="366"/>
      <c r="AD60" s="366"/>
      <c r="AE60" s="369"/>
      <c r="AF60" s="360"/>
      <c r="AG60" s="366"/>
    </row>
    <row r="61" spans="1:33" ht="15" customHeight="1">
      <c r="A61" s="311" t="s">
        <v>40</v>
      </c>
      <c r="B61" s="312" t="s">
        <v>55</v>
      </c>
      <c r="C61" s="347"/>
      <c r="D61" s="311">
        <v>420538</v>
      </c>
      <c r="E61" s="313">
        <v>10</v>
      </c>
      <c r="F61" s="571">
        <f t="shared" si="3"/>
        <v>37542</v>
      </c>
      <c r="G61" s="555">
        <f t="shared" si="4"/>
        <v>35572</v>
      </c>
      <c r="H61" s="365">
        <v>24556</v>
      </c>
      <c r="I61" s="366">
        <v>21644</v>
      </c>
      <c r="J61" s="365">
        <v>1198</v>
      </c>
      <c r="K61" s="367">
        <v>940</v>
      </c>
      <c r="L61" s="360">
        <v>11335</v>
      </c>
      <c r="M61" s="365">
        <v>453</v>
      </c>
      <c r="N61" s="365">
        <v>0</v>
      </c>
      <c r="O61" s="366">
        <v>12720</v>
      </c>
      <c r="P61" s="366">
        <v>268</v>
      </c>
      <c r="Q61" s="367">
        <v>0</v>
      </c>
      <c r="R61" s="360"/>
      <c r="S61" s="367"/>
      <c r="T61" s="573">
        <f t="shared" si="5"/>
        <v>0</v>
      </c>
      <c r="U61" s="574">
        <f t="shared" si="6"/>
        <v>0</v>
      </c>
      <c r="V61" s="365">
        <v>0</v>
      </c>
      <c r="W61" s="366"/>
      <c r="X61" s="368">
        <v>0</v>
      </c>
      <c r="Y61" s="367"/>
      <c r="Z61" s="360"/>
      <c r="AA61" s="365"/>
      <c r="AB61" s="365"/>
      <c r="AC61" s="366"/>
      <c r="AD61" s="366"/>
      <c r="AE61" s="369"/>
      <c r="AF61" s="360"/>
      <c r="AG61" s="366"/>
    </row>
    <row r="62" spans="1:33" ht="15" customHeight="1">
      <c r="A62" s="311" t="s">
        <v>40</v>
      </c>
      <c r="B62" s="312" t="s">
        <v>56</v>
      </c>
      <c r="C62" s="347"/>
      <c r="D62" s="311">
        <v>440402</v>
      </c>
      <c r="E62" s="313">
        <v>10</v>
      </c>
      <c r="F62" s="571">
        <f t="shared" si="3"/>
        <v>46758</v>
      </c>
      <c r="G62" s="555">
        <f t="shared" si="4"/>
        <v>44215</v>
      </c>
      <c r="H62" s="365">
        <v>10605</v>
      </c>
      <c r="I62" s="366">
        <v>9167</v>
      </c>
      <c r="J62" s="365">
        <v>17827</v>
      </c>
      <c r="K62" s="367">
        <v>16768</v>
      </c>
      <c r="L62" s="360">
        <v>17723</v>
      </c>
      <c r="M62" s="365">
        <v>603</v>
      </c>
      <c r="N62" s="365">
        <v>0</v>
      </c>
      <c r="O62" s="366">
        <v>17035</v>
      </c>
      <c r="P62" s="366">
        <v>1245</v>
      </c>
      <c r="Q62" s="367">
        <v>0</v>
      </c>
      <c r="R62" s="360"/>
      <c r="S62" s="367"/>
      <c r="T62" s="573">
        <f t="shared" si="5"/>
        <v>0</v>
      </c>
      <c r="U62" s="574">
        <f t="shared" si="6"/>
        <v>0</v>
      </c>
      <c r="V62" s="365">
        <v>0</v>
      </c>
      <c r="W62" s="366"/>
      <c r="X62" s="368">
        <v>0</v>
      </c>
      <c r="Y62" s="367"/>
      <c r="Z62" s="360"/>
      <c r="AA62" s="365"/>
      <c r="AB62" s="365"/>
      <c r="AC62" s="366"/>
      <c r="AD62" s="366"/>
      <c r="AE62" s="369"/>
      <c r="AF62" s="360"/>
      <c r="AG62" s="366"/>
    </row>
    <row r="63" spans="1:33" ht="15" customHeight="1">
      <c r="A63" s="311" t="s">
        <v>40</v>
      </c>
      <c r="B63" s="312" t="s">
        <v>57</v>
      </c>
      <c r="C63" s="347" t="s">
        <v>296</v>
      </c>
      <c r="D63" s="311">
        <v>106625</v>
      </c>
      <c r="E63" s="313">
        <v>10</v>
      </c>
      <c r="F63" s="571">
        <f t="shared" si="3"/>
        <v>60662</v>
      </c>
      <c r="G63" s="555">
        <f t="shared" si="4"/>
        <v>62967</v>
      </c>
      <c r="H63" s="365">
        <v>30781</v>
      </c>
      <c r="I63" s="366">
        <v>30003</v>
      </c>
      <c r="J63" s="365">
        <v>17554</v>
      </c>
      <c r="K63" s="367">
        <v>18701</v>
      </c>
      <c r="L63" s="360">
        <v>10602</v>
      </c>
      <c r="M63" s="365">
        <v>1725</v>
      </c>
      <c r="N63" s="365">
        <v>0</v>
      </c>
      <c r="O63" s="366">
        <v>11938</v>
      </c>
      <c r="P63" s="366">
        <v>2325</v>
      </c>
      <c r="Q63" s="367">
        <v>0</v>
      </c>
      <c r="R63" s="360"/>
      <c r="S63" s="367"/>
      <c r="T63" s="573">
        <f t="shared" si="5"/>
        <v>0</v>
      </c>
      <c r="U63" s="574">
        <f t="shared" si="6"/>
        <v>0</v>
      </c>
      <c r="V63" s="365">
        <v>0</v>
      </c>
      <c r="W63" s="366"/>
      <c r="X63" s="368">
        <v>0</v>
      </c>
      <c r="Y63" s="367"/>
      <c r="Z63" s="360"/>
      <c r="AA63" s="365"/>
      <c r="AB63" s="365"/>
      <c r="AC63" s="366"/>
      <c r="AD63" s="366"/>
      <c r="AE63" s="369"/>
      <c r="AF63" s="360"/>
      <c r="AG63" s="366"/>
    </row>
    <row r="64" spans="1:33" ht="15" customHeight="1">
      <c r="A64" s="311" t="s">
        <v>40</v>
      </c>
      <c r="B64" s="312" t="s">
        <v>297</v>
      </c>
      <c r="C64" s="351" t="s">
        <v>298</v>
      </c>
      <c r="D64" s="311">
        <v>107521</v>
      </c>
      <c r="E64" s="313">
        <v>10</v>
      </c>
      <c r="F64" s="571">
        <f t="shared" si="3"/>
        <v>28831</v>
      </c>
      <c r="G64" s="555">
        <f t="shared" si="4"/>
        <v>29256</v>
      </c>
      <c r="H64" s="365">
        <v>21647</v>
      </c>
      <c r="I64" s="366">
        <v>21984</v>
      </c>
      <c r="J64" s="365">
        <v>2228</v>
      </c>
      <c r="K64" s="367">
        <v>2058</v>
      </c>
      <c r="L64" s="360">
        <v>3671</v>
      </c>
      <c r="M64" s="365">
        <v>1285</v>
      </c>
      <c r="N64" s="365"/>
      <c r="O64" s="366">
        <v>5049</v>
      </c>
      <c r="P64" s="366">
        <v>165</v>
      </c>
      <c r="Q64" s="367">
        <v>0</v>
      </c>
      <c r="R64" s="360"/>
      <c r="S64" s="367"/>
      <c r="T64" s="573">
        <f t="shared" si="5"/>
        <v>0</v>
      </c>
      <c r="U64" s="574">
        <f t="shared" si="6"/>
        <v>0</v>
      </c>
      <c r="V64" s="365">
        <v>0</v>
      </c>
      <c r="W64" s="366"/>
      <c r="X64" s="368">
        <v>0</v>
      </c>
      <c r="Y64" s="367"/>
      <c r="Z64" s="360"/>
      <c r="AA64" s="365"/>
      <c r="AB64" s="365"/>
      <c r="AC64" s="366"/>
      <c r="AD64" s="366"/>
      <c r="AE64" s="369"/>
      <c r="AF64" s="360"/>
      <c r="AG64" s="366"/>
    </row>
    <row r="65" spans="1:33" ht="15" customHeight="1">
      <c r="A65" s="311" t="s">
        <v>40</v>
      </c>
      <c r="B65" s="312" t="s">
        <v>58</v>
      </c>
      <c r="C65" s="347"/>
      <c r="D65" s="311">
        <v>106795</v>
      </c>
      <c r="E65" s="313">
        <v>10</v>
      </c>
      <c r="F65" s="571">
        <f t="shared" si="3"/>
        <v>32202</v>
      </c>
      <c r="G65" s="555">
        <f t="shared" si="4"/>
        <v>31651</v>
      </c>
      <c r="H65" s="365">
        <v>7179</v>
      </c>
      <c r="I65" s="366">
        <v>7474</v>
      </c>
      <c r="J65" s="365">
        <v>9939</v>
      </c>
      <c r="K65" s="367">
        <v>9385</v>
      </c>
      <c r="L65" s="360">
        <v>11610</v>
      </c>
      <c r="M65" s="365">
        <v>3474</v>
      </c>
      <c r="N65" s="365">
        <v>0</v>
      </c>
      <c r="O65" s="366">
        <v>11364</v>
      </c>
      <c r="P65" s="366">
        <v>3428</v>
      </c>
      <c r="Q65" s="367">
        <v>0</v>
      </c>
      <c r="R65" s="360"/>
      <c r="S65" s="367"/>
      <c r="T65" s="573">
        <f t="shared" si="5"/>
        <v>0</v>
      </c>
      <c r="U65" s="574">
        <f t="shared" si="6"/>
        <v>0</v>
      </c>
      <c r="V65" s="365">
        <v>0</v>
      </c>
      <c r="W65" s="366"/>
      <c r="X65" s="368">
        <v>0</v>
      </c>
      <c r="Y65" s="367"/>
      <c r="Z65" s="360"/>
      <c r="AA65" s="365"/>
      <c r="AB65" s="365"/>
      <c r="AC65" s="366"/>
      <c r="AD65" s="366"/>
      <c r="AE65" s="369"/>
      <c r="AF65" s="360"/>
      <c r="AG65" s="366"/>
    </row>
    <row r="66" spans="1:33" ht="15" customHeight="1">
      <c r="A66" s="311" t="s">
        <v>40</v>
      </c>
      <c r="B66" s="312" t="s">
        <v>59</v>
      </c>
      <c r="C66" s="347"/>
      <c r="D66" s="311">
        <v>106883</v>
      </c>
      <c r="E66" s="313">
        <v>10</v>
      </c>
      <c r="F66" s="571">
        <f t="shared" si="3"/>
        <v>32115</v>
      </c>
      <c r="G66" s="555">
        <f t="shared" si="4"/>
        <v>29418</v>
      </c>
      <c r="H66" s="365">
        <v>18957</v>
      </c>
      <c r="I66" s="366">
        <v>17476</v>
      </c>
      <c r="J66" s="365">
        <v>6564</v>
      </c>
      <c r="K66" s="367">
        <v>6563</v>
      </c>
      <c r="L66" s="360">
        <v>5373</v>
      </c>
      <c r="M66" s="365">
        <v>1221</v>
      </c>
      <c r="N66" s="365">
        <v>0</v>
      </c>
      <c r="O66" s="366">
        <v>4864</v>
      </c>
      <c r="P66" s="366">
        <v>515</v>
      </c>
      <c r="Q66" s="367">
        <v>0</v>
      </c>
      <c r="R66" s="360"/>
      <c r="S66" s="367"/>
      <c r="T66" s="573">
        <f t="shared" si="5"/>
        <v>0</v>
      </c>
      <c r="U66" s="574">
        <f t="shared" si="6"/>
        <v>0</v>
      </c>
      <c r="V66" s="365">
        <v>0</v>
      </c>
      <c r="W66" s="366"/>
      <c r="X66" s="368">
        <v>0</v>
      </c>
      <c r="Y66" s="367"/>
      <c r="Z66" s="360"/>
      <c r="AA66" s="365"/>
      <c r="AB66" s="365"/>
      <c r="AC66" s="366"/>
      <c r="AD66" s="366"/>
      <c r="AE66" s="369"/>
      <c r="AF66" s="360"/>
      <c r="AG66" s="366"/>
    </row>
    <row r="67" spans="1:33" ht="15" customHeight="1">
      <c r="A67" s="311" t="s">
        <v>40</v>
      </c>
      <c r="B67" s="312" t="s">
        <v>60</v>
      </c>
      <c r="C67" s="347"/>
      <c r="D67" s="311">
        <v>107318</v>
      </c>
      <c r="E67" s="313">
        <v>10</v>
      </c>
      <c r="F67" s="571">
        <f t="shared" si="3"/>
        <v>43515</v>
      </c>
      <c r="G67" s="555">
        <f t="shared" si="4"/>
        <v>38654</v>
      </c>
      <c r="H67" s="365">
        <v>40723</v>
      </c>
      <c r="I67" s="366">
        <v>35966</v>
      </c>
      <c r="J67" s="365">
        <v>637</v>
      </c>
      <c r="K67" s="367">
        <v>541</v>
      </c>
      <c r="L67" s="360">
        <v>2155</v>
      </c>
      <c r="M67" s="365"/>
      <c r="N67" s="365"/>
      <c r="O67" s="366">
        <v>2147</v>
      </c>
      <c r="P67" s="366">
        <v>0</v>
      </c>
      <c r="Q67" s="367">
        <v>0</v>
      </c>
      <c r="R67" s="360"/>
      <c r="S67" s="367"/>
      <c r="T67" s="573">
        <f t="shared" si="5"/>
        <v>0</v>
      </c>
      <c r="U67" s="574">
        <f t="shared" si="6"/>
        <v>0</v>
      </c>
      <c r="V67" s="365">
        <v>0</v>
      </c>
      <c r="W67" s="366"/>
      <c r="X67" s="368">
        <v>0</v>
      </c>
      <c r="Y67" s="367"/>
      <c r="Z67" s="360"/>
      <c r="AA67" s="365"/>
      <c r="AB67" s="365"/>
      <c r="AC67" s="366"/>
      <c r="AD67" s="366"/>
      <c r="AE67" s="369"/>
      <c r="AF67" s="360"/>
      <c r="AG67" s="366"/>
    </row>
    <row r="68" spans="1:33" ht="15" customHeight="1">
      <c r="A68" s="311" t="s">
        <v>40</v>
      </c>
      <c r="B68" s="312" t="s">
        <v>62</v>
      </c>
      <c r="C68" s="347"/>
      <c r="D68" s="311">
        <v>107460</v>
      </c>
      <c r="E68" s="313">
        <v>10</v>
      </c>
      <c r="F68" s="571">
        <f t="shared" si="3"/>
        <v>56913</v>
      </c>
      <c r="G68" s="555">
        <f t="shared" si="4"/>
        <v>56323</v>
      </c>
      <c r="H68" s="365">
        <v>50019</v>
      </c>
      <c r="I68" s="366">
        <v>48094</v>
      </c>
      <c r="J68" s="365">
        <v>2457</v>
      </c>
      <c r="K68" s="367">
        <v>2761</v>
      </c>
      <c r="L68" s="360">
        <v>4437</v>
      </c>
      <c r="M68" s="365"/>
      <c r="N68" s="365"/>
      <c r="O68" s="366">
        <v>5468</v>
      </c>
      <c r="P68" s="366">
        <v>0</v>
      </c>
      <c r="Q68" s="367">
        <v>0</v>
      </c>
      <c r="R68" s="360"/>
      <c r="S68" s="367"/>
      <c r="T68" s="573">
        <f t="shared" si="5"/>
        <v>0</v>
      </c>
      <c r="U68" s="574">
        <f t="shared" si="6"/>
        <v>0</v>
      </c>
      <c r="V68" s="365">
        <v>0</v>
      </c>
      <c r="W68" s="366"/>
      <c r="X68" s="368">
        <v>0</v>
      </c>
      <c r="Y68" s="367"/>
      <c r="Z68" s="360"/>
      <c r="AA68" s="365"/>
      <c r="AB68" s="365"/>
      <c r="AC68" s="366"/>
      <c r="AD68" s="366"/>
      <c r="AE68" s="369"/>
      <c r="AF68" s="360"/>
      <c r="AG68" s="366"/>
    </row>
    <row r="69" spans="1:33" ht="15" customHeight="1">
      <c r="A69" s="311" t="s">
        <v>40</v>
      </c>
      <c r="B69" s="312" t="s">
        <v>63</v>
      </c>
      <c r="C69" s="347"/>
      <c r="D69" s="311">
        <v>107549</v>
      </c>
      <c r="E69" s="313">
        <v>10</v>
      </c>
      <c r="F69" s="571">
        <f t="shared" si="3"/>
        <v>33890</v>
      </c>
      <c r="G69" s="555">
        <f t="shared" si="4"/>
        <v>38954</v>
      </c>
      <c r="H69" s="365">
        <v>21744</v>
      </c>
      <c r="I69" s="366">
        <v>23560</v>
      </c>
      <c r="J69" s="365">
        <v>1824</v>
      </c>
      <c r="K69" s="367">
        <v>1633</v>
      </c>
      <c r="L69" s="360">
        <v>8263</v>
      </c>
      <c r="M69" s="365">
        <v>2059</v>
      </c>
      <c r="N69" s="365"/>
      <c r="O69" s="366">
        <v>12321</v>
      </c>
      <c r="P69" s="366">
        <v>1440</v>
      </c>
      <c r="Q69" s="367">
        <v>0</v>
      </c>
      <c r="R69" s="360"/>
      <c r="S69" s="367"/>
      <c r="T69" s="573">
        <f t="shared" si="5"/>
        <v>0</v>
      </c>
      <c r="U69" s="574">
        <f t="shared" si="6"/>
        <v>0</v>
      </c>
      <c r="V69" s="365">
        <v>0</v>
      </c>
      <c r="W69" s="366"/>
      <c r="X69" s="368">
        <v>0</v>
      </c>
      <c r="Y69" s="367"/>
      <c r="Z69" s="360"/>
      <c r="AA69" s="365"/>
      <c r="AB69" s="365"/>
      <c r="AC69" s="366"/>
      <c r="AD69" s="366"/>
      <c r="AE69" s="369"/>
      <c r="AF69" s="360"/>
      <c r="AG69" s="366"/>
    </row>
    <row r="70" spans="1:33" ht="15" customHeight="1">
      <c r="A70" s="311" t="s">
        <v>40</v>
      </c>
      <c r="B70" s="312" t="s">
        <v>64</v>
      </c>
      <c r="C70" s="347"/>
      <c r="D70" s="311">
        <v>107619</v>
      </c>
      <c r="E70" s="313">
        <v>10</v>
      </c>
      <c r="F70" s="571">
        <f t="shared" si="3"/>
        <v>41430</v>
      </c>
      <c r="G70" s="555">
        <f t="shared" si="4"/>
        <v>40016</v>
      </c>
      <c r="H70" s="365">
        <v>36982</v>
      </c>
      <c r="I70" s="366">
        <v>35892</v>
      </c>
      <c r="J70" s="365">
        <v>0</v>
      </c>
      <c r="K70" s="367">
        <v>0</v>
      </c>
      <c r="L70" s="360">
        <v>2932</v>
      </c>
      <c r="M70" s="365">
        <v>1428</v>
      </c>
      <c r="N70" s="365">
        <v>88</v>
      </c>
      <c r="O70" s="366">
        <v>2877</v>
      </c>
      <c r="P70" s="366">
        <v>1011</v>
      </c>
      <c r="Q70" s="367">
        <v>236</v>
      </c>
      <c r="R70" s="360"/>
      <c r="S70" s="367"/>
      <c r="T70" s="573">
        <f t="shared" si="5"/>
        <v>0</v>
      </c>
      <c r="U70" s="574">
        <f t="shared" si="6"/>
        <v>0</v>
      </c>
      <c r="V70" s="365">
        <v>0</v>
      </c>
      <c r="W70" s="366"/>
      <c r="X70" s="368">
        <v>0</v>
      </c>
      <c r="Y70" s="367"/>
      <c r="Z70" s="360"/>
      <c r="AA70" s="365"/>
      <c r="AB70" s="365"/>
      <c r="AC70" s="366"/>
      <c r="AD70" s="366"/>
      <c r="AE70" s="369"/>
      <c r="AF70" s="360"/>
      <c r="AG70" s="366"/>
    </row>
    <row r="71" spans="1:33" ht="15" customHeight="1">
      <c r="A71" s="311" t="s">
        <v>40</v>
      </c>
      <c r="B71" s="312" t="s">
        <v>65</v>
      </c>
      <c r="C71" s="347"/>
      <c r="D71" s="311">
        <v>107743</v>
      </c>
      <c r="E71" s="313">
        <v>10</v>
      </c>
      <c r="F71" s="571">
        <f t="shared" ref="F71:F134" si="7">SUM(H71,J71,L71,M71,N71,R71)</f>
        <v>20112</v>
      </c>
      <c r="G71" s="555">
        <f t="shared" ref="G71:G134" si="8">SUM(I71,K71,O71,P71,Q71,S71)</f>
        <v>20833</v>
      </c>
      <c r="H71" s="365">
        <v>13667</v>
      </c>
      <c r="I71" s="366">
        <v>11925</v>
      </c>
      <c r="J71" s="365">
        <v>4577</v>
      </c>
      <c r="K71" s="367">
        <v>5078</v>
      </c>
      <c r="L71" s="360">
        <v>1478</v>
      </c>
      <c r="M71" s="365">
        <v>126</v>
      </c>
      <c r="N71" s="365">
        <v>264</v>
      </c>
      <c r="O71" s="366">
        <v>3623</v>
      </c>
      <c r="P71" s="366">
        <v>207</v>
      </c>
      <c r="Q71" s="367">
        <v>0</v>
      </c>
      <c r="R71" s="360"/>
      <c r="S71" s="367"/>
      <c r="T71" s="573">
        <f t="shared" ref="T71:T134" si="9">SUM(V71,X71,Z71,AA71,AB71,AF71)</f>
        <v>0</v>
      </c>
      <c r="U71" s="574">
        <f t="shared" ref="U71:U134" si="10">SUM(W71,Y71,AC71,AD71,AE71,AG71)</f>
        <v>0</v>
      </c>
      <c r="V71" s="365">
        <v>0</v>
      </c>
      <c r="W71" s="366"/>
      <c r="X71" s="368">
        <v>0</v>
      </c>
      <c r="Y71" s="367"/>
      <c r="Z71" s="360"/>
      <c r="AA71" s="365"/>
      <c r="AB71" s="365"/>
      <c r="AC71" s="366"/>
      <c r="AD71" s="366"/>
      <c r="AE71" s="369"/>
      <c r="AF71" s="360"/>
      <c r="AG71" s="366"/>
    </row>
    <row r="72" spans="1:33" ht="15" customHeight="1">
      <c r="A72" s="311" t="s">
        <v>40</v>
      </c>
      <c r="B72" s="312" t="s">
        <v>66</v>
      </c>
      <c r="C72" s="347"/>
      <c r="D72" s="311">
        <v>107974</v>
      </c>
      <c r="E72" s="313">
        <v>10</v>
      </c>
      <c r="F72" s="571">
        <f t="shared" si="7"/>
        <v>40831</v>
      </c>
      <c r="G72" s="555">
        <f t="shared" si="8"/>
        <v>41745</v>
      </c>
      <c r="H72" s="365">
        <v>33339</v>
      </c>
      <c r="I72" s="366">
        <v>33028</v>
      </c>
      <c r="J72" s="365">
        <v>180</v>
      </c>
      <c r="K72" s="367">
        <v>807</v>
      </c>
      <c r="L72" s="360">
        <v>7312</v>
      </c>
      <c r="M72" s="365"/>
      <c r="N72" s="365"/>
      <c r="O72" s="366">
        <v>7859</v>
      </c>
      <c r="P72" s="366">
        <v>0</v>
      </c>
      <c r="Q72" s="367">
        <v>0</v>
      </c>
      <c r="R72" s="360"/>
      <c r="S72" s="367">
        <v>51</v>
      </c>
      <c r="T72" s="573">
        <f t="shared" si="9"/>
        <v>0</v>
      </c>
      <c r="U72" s="574">
        <f t="shared" si="10"/>
        <v>0</v>
      </c>
      <c r="V72" s="365">
        <v>0</v>
      </c>
      <c r="W72" s="366"/>
      <c r="X72" s="368">
        <v>0</v>
      </c>
      <c r="Y72" s="367"/>
      <c r="Z72" s="360"/>
      <c r="AA72" s="365"/>
      <c r="AB72" s="365"/>
      <c r="AC72" s="366"/>
      <c r="AD72" s="366"/>
      <c r="AE72" s="369"/>
      <c r="AF72" s="360"/>
      <c r="AG72" s="366"/>
    </row>
    <row r="73" spans="1:33" ht="15" customHeight="1">
      <c r="A73" s="311" t="s">
        <v>40</v>
      </c>
      <c r="B73" s="312" t="s">
        <v>67</v>
      </c>
      <c r="C73" s="347"/>
      <c r="D73" s="311">
        <v>107637</v>
      </c>
      <c r="E73" s="313">
        <v>10</v>
      </c>
      <c r="F73" s="571">
        <f t="shared" si="7"/>
        <v>49137</v>
      </c>
      <c r="G73" s="555">
        <f t="shared" si="8"/>
        <v>46869</v>
      </c>
      <c r="H73" s="365">
        <v>42484</v>
      </c>
      <c r="I73" s="366">
        <v>39854</v>
      </c>
      <c r="J73" s="365">
        <v>2381</v>
      </c>
      <c r="K73" s="367">
        <v>2808</v>
      </c>
      <c r="L73" s="360">
        <v>4272</v>
      </c>
      <c r="M73" s="365"/>
      <c r="N73" s="365"/>
      <c r="O73" s="366">
        <v>4207</v>
      </c>
      <c r="P73" s="366">
        <v>0</v>
      </c>
      <c r="Q73" s="367">
        <v>0</v>
      </c>
      <c r="R73" s="360"/>
      <c r="S73" s="367"/>
      <c r="T73" s="573">
        <f t="shared" si="9"/>
        <v>0</v>
      </c>
      <c r="U73" s="574">
        <f t="shared" si="10"/>
        <v>0</v>
      </c>
      <c r="V73" s="365">
        <v>0</v>
      </c>
      <c r="W73" s="366"/>
      <c r="X73" s="368">
        <v>0</v>
      </c>
      <c r="Y73" s="367"/>
      <c r="Z73" s="360"/>
      <c r="AA73" s="365"/>
      <c r="AB73" s="365"/>
      <c r="AC73" s="366"/>
      <c r="AD73" s="366"/>
      <c r="AE73" s="369"/>
      <c r="AF73" s="360"/>
      <c r="AG73" s="366"/>
    </row>
    <row r="74" spans="1:33" ht="15" customHeight="1">
      <c r="A74" s="311" t="s">
        <v>40</v>
      </c>
      <c r="B74" s="312" t="s">
        <v>68</v>
      </c>
      <c r="C74" s="347"/>
      <c r="D74" s="311">
        <v>107992</v>
      </c>
      <c r="E74" s="313">
        <v>10</v>
      </c>
      <c r="F74" s="571">
        <f t="shared" si="7"/>
        <v>39285</v>
      </c>
      <c r="G74" s="555">
        <f t="shared" si="8"/>
        <v>42257</v>
      </c>
      <c r="H74" s="365">
        <v>17445</v>
      </c>
      <c r="I74" s="366">
        <v>18096</v>
      </c>
      <c r="J74" s="365">
        <v>11619</v>
      </c>
      <c r="K74" s="367">
        <v>14516</v>
      </c>
      <c r="L74" s="360"/>
      <c r="M74" s="365">
        <v>10221</v>
      </c>
      <c r="N74" s="365"/>
      <c r="O74" s="366">
        <v>9645</v>
      </c>
      <c r="P74" s="366">
        <v>0</v>
      </c>
      <c r="Q74" s="367">
        <v>0</v>
      </c>
      <c r="R74" s="360"/>
      <c r="S74" s="367"/>
      <c r="T74" s="573">
        <f t="shared" si="9"/>
        <v>0</v>
      </c>
      <c r="U74" s="574">
        <f t="shared" si="10"/>
        <v>0</v>
      </c>
      <c r="V74" s="365">
        <v>0</v>
      </c>
      <c r="W74" s="366"/>
      <c r="X74" s="368">
        <v>0</v>
      </c>
      <c r="Y74" s="367"/>
      <c r="Z74" s="360"/>
      <c r="AA74" s="365"/>
      <c r="AB74" s="365"/>
      <c r="AC74" s="366"/>
      <c r="AD74" s="366"/>
      <c r="AE74" s="369"/>
      <c r="AF74" s="360"/>
      <c r="AG74" s="366"/>
    </row>
    <row r="75" spans="1:33" ht="15" customHeight="1">
      <c r="A75" s="311" t="s">
        <v>40</v>
      </c>
      <c r="B75" s="312" t="s">
        <v>69</v>
      </c>
      <c r="C75" s="347"/>
      <c r="D75" s="311">
        <v>106999</v>
      </c>
      <c r="E75" s="313">
        <v>10</v>
      </c>
      <c r="F75" s="571">
        <f t="shared" si="7"/>
        <v>41477</v>
      </c>
      <c r="G75" s="555">
        <f t="shared" si="8"/>
        <v>38625</v>
      </c>
      <c r="H75" s="365">
        <v>34434</v>
      </c>
      <c r="I75" s="366">
        <v>30402</v>
      </c>
      <c r="J75" s="365">
        <v>534</v>
      </c>
      <c r="K75" s="367">
        <v>1310</v>
      </c>
      <c r="L75" s="360">
        <v>6509</v>
      </c>
      <c r="M75" s="365"/>
      <c r="N75" s="365"/>
      <c r="O75" s="366">
        <v>6913</v>
      </c>
      <c r="P75" s="366">
        <v>0</v>
      </c>
      <c r="Q75" s="367">
        <v>0</v>
      </c>
      <c r="R75" s="360"/>
      <c r="S75" s="367"/>
      <c r="T75" s="573">
        <f t="shared" si="9"/>
        <v>0</v>
      </c>
      <c r="U75" s="574">
        <f t="shared" si="10"/>
        <v>0</v>
      </c>
      <c r="V75" s="365">
        <v>0</v>
      </c>
      <c r="W75" s="366"/>
      <c r="X75" s="368">
        <v>0</v>
      </c>
      <c r="Y75" s="367"/>
      <c r="Z75" s="360"/>
      <c r="AA75" s="365"/>
      <c r="AB75" s="365"/>
      <c r="AC75" s="366"/>
      <c r="AD75" s="366"/>
      <c r="AE75" s="369"/>
      <c r="AF75" s="360"/>
      <c r="AG75" s="366"/>
    </row>
    <row r="76" spans="1:33" ht="15" customHeight="1">
      <c r="A76" s="311" t="s">
        <v>40</v>
      </c>
      <c r="B76" s="312" t="s">
        <v>70</v>
      </c>
      <c r="C76" s="347"/>
      <c r="D76" s="311">
        <v>107725</v>
      </c>
      <c r="E76" s="313">
        <v>10</v>
      </c>
      <c r="F76" s="571">
        <f t="shared" si="7"/>
        <v>34577</v>
      </c>
      <c r="G76" s="555">
        <f t="shared" si="8"/>
        <v>31481</v>
      </c>
      <c r="H76" s="365">
        <v>34556</v>
      </c>
      <c r="I76" s="366">
        <v>31220</v>
      </c>
      <c r="J76" s="365">
        <v>0</v>
      </c>
      <c r="K76" s="367">
        <v>0</v>
      </c>
      <c r="L76" s="360">
        <v>3</v>
      </c>
      <c r="M76" s="365">
        <v>18</v>
      </c>
      <c r="N76" s="365"/>
      <c r="O76" s="366">
        <v>9</v>
      </c>
      <c r="P76" s="366">
        <v>252</v>
      </c>
      <c r="Q76" s="367">
        <v>0</v>
      </c>
      <c r="R76" s="360"/>
      <c r="S76" s="367"/>
      <c r="T76" s="573">
        <f t="shared" si="9"/>
        <v>0</v>
      </c>
      <c r="U76" s="574">
        <f t="shared" si="10"/>
        <v>0</v>
      </c>
      <c r="V76" s="365">
        <v>0</v>
      </c>
      <c r="W76" s="366"/>
      <c r="X76" s="368">
        <v>0</v>
      </c>
      <c r="Y76" s="367"/>
      <c r="Z76" s="360"/>
      <c r="AA76" s="365"/>
      <c r="AB76" s="365"/>
      <c r="AC76" s="366"/>
      <c r="AD76" s="366"/>
      <c r="AE76" s="369"/>
      <c r="AF76" s="360"/>
      <c r="AG76" s="366"/>
    </row>
    <row r="77" spans="1:33" ht="15" customHeight="1">
      <c r="A77" s="311" t="s">
        <v>40</v>
      </c>
      <c r="B77" s="312" t="s">
        <v>71</v>
      </c>
      <c r="C77" s="347"/>
      <c r="D77" s="311">
        <v>107585</v>
      </c>
      <c r="E77" s="313">
        <v>10</v>
      </c>
      <c r="F77" s="571">
        <f t="shared" si="7"/>
        <v>58656</v>
      </c>
      <c r="G77" s="555">
        <f t="shared" si="8"/>
        <v>57941</v>
      </c>
      <c r="H77" s="365">
        <v>56063</v>
      </c>
      <c r="I77" s="366">
        <v>55241</v>
      </c>
      <c r="J77" s="365">
        <v>0</v>
      </c>
      <c r="K77" s="367">
        <v>0</v>
      </c>
      <c r="L77" s="360">
        <v>2593</v>
      </c>
      <c r="M77" s="365"/>
      <c r="N77" s="365"/>
      <c r="O77" s="366">
        <v>2700</v>
      </c>
      <c r="P77" s="366">
        <v>0</v>
      </c>
      <c r="Q77" s="367">
        <v>0</v>
      </c>
      <c r="R77" s="360"/>
      <c r="S77" s="367"/>
      <c r="T77" s="573">
        <f t="shared" si="9"/>
        <v>0</v>
      </c>
      <c r="U77" s="574">
        <f t="shared" si="10"/>
        <v>0</v>
      </c>
      <c r="V77" s="365">
        <v>0</v>
      </c>
      <c r="W77" s="366"/>
      <c r="X77" s="368">
        <v>0</v>
      </c>
      <c r="Y77" s="367"/>
      <c r="Z77" s="360"/>
      <c r="AA77" s="365"/>
      <c r="AB77" s="365"/>
      <c r="AC77" s="366"/>
      <c r="AD77" s="366"/>
      <c r="AE77" s="369"/>
      <c r="AF77" s="360"/>
      <c r="AG77" s="366"/>
    </row>
    <row r="78" spans="1:33" ht="15">
      <c r="A78" s="444" t="s">
        <v>72</v>
      </c>
      <c r="B78" s="445" t="s">
        <v>606</v>
      </c>
      <c r="C78" s="446"/>
      <c r="D78" s="447">
        <v>130943</v>
      </c>
      <c r="E78" s="447">
        <v>1</v>
      </c>
      <c r="F78" s="571">
        <f t="shared" si="7"/>
        <v>519545</v>
      </c>
      <c r="G78" s="555">
        <f t="shared" si="8"/>
        <v>525599</v>
      </c>
      <c r="H78" s="448">
        <v>501354</v>
      </c>
      <c r="I78" s="449">
        <v>509681</v>
      </c>
      <c r="J78" s="450"/>
      <c r="K78" s="449"/>
      <c r="L78" s="451">
        <v>18191</v>
      </c>
      <c r="M78" s="450">
        <v>0</v>
      </c>
      <c r="N78" s="450">
        <v>0</v>
      </c>
      <c r="O78" s="452">
        <v>15918</v>
      </c>
      <c r="P78" s="452">
        <v>0</v>
      </c>
      <c r="Q78" s="453">
        <v>0</v>
      </c>
      <c r="R78" s="451">
        <v>0</v>
      </c>
      <c r="S78" s="453">
        <v>0</v>
      </c>
      <c r="T78" s="573">
        <f t="shared" si="9"/>
        <v>54654</v>
      </c>
      <c r="U78" s="574">
        <f t="shared" si="10"/>
        <v>51744</v>
      </c>
      <c r="V78" s="625">
        <v>51222</v>
      </c>
      <c r="W78" s="626">
        <v>48822</v>
      </c>
      <c r="X78" s="454"/>
      <c r="Y78" s="453"/>
      <c r="Z78" s="451">
        <v>3303</v>
      </c>
      <c r="AA78" s="450">
        <v>129</v>
      </c>
      <c r="AB78" s="450">
        <v>0</v>
      </c>
      <c r="AC78" s="452">
        <v>2922</v>
      </c>
      <c r="AD78" s="452">
        <v>0</v>
      </c>
      <c r="AE78" s="455">
        <v>0</v>
      </c>
      <c r="AF78" s="451">
        <v>0</v>
      </c>
      <c r="AG78" s="452">
        <v>0</v>
      </c>
    </row>
    <row r="79" spans="1:33" ht="15">
      <c r="A79" s="444" t="s">
        <v>72</v>
      </c>
      <c r="B79" s="445" t="s">
        <v>607</v>
      </c>
      <c r="C79" s="446" t="s">
        <v>293</v>
      </c>
      <c r="D79" s="447">
        <v>130934</v>
      </c>
      <c r="E79" s="447">
        <v>4</v>
      </c>
      <c r="F79" s="571">
        <f t="shared" si="7"/>
        <v>105469</v>
      </c>
      <c r="G79" s="555">
        <f t="shared" si="8"/>
        <v>105618</v>
      </c>
      <c r="H79" s="448">
        <v>105373</v>
      </c>
      <c r="I79" s="449">
        <v>103887</v>
      </c>
      <c r="J79" s="450"/>
      <c r="K79" s="449"/>
      <c r="L79" s="451">
        <v>96</v>
      </c>
      <c r="M79" s="450">
        <v>0</v>
      </c>
      <c r="N79" s="450">
        <v>0</v>
      </c>
      <c r="O79" s="452">
        <v>1731</v>
      </c>
      <c r="P79" s="452">
        <v>0</v>
      </c>
      <c r="Q79" s="453">
        <v>0</v>
      </c>
      <c r="R79" s="451"/>
      <c r="S79" s="453"/>
      <c r="T79" s="573">
        <f t="shared" si="9"/>
        <v>8878</v>
      </c>
      <c r="U79" s="574">
        <f t="shared" si="10"/>
        <v>11247</v>
      </c>
      <c r="V79" s="625">
        <v>8851</v>
      </c>
      <c r="W79" s="626">
        <v>7767</v>
      </c>
      <c r="X79" s="454"/>
      <c r="Y79" s="453"/>
      <c r="Z79" s="451">
        <v>27</v>
      </c>
      <c r="AA79" s="450"/>
      <c r="AB79" s="450"/>
      <c r="AC79" s="452">
        <v>3480</v>
      </c>
      <c r="AD79" s="452">
        <v>0</v>
      </c>
      <c r="AE79" s="455"/>
      <c r="AF79" s="451"/>
      <c r="AG79" s="452"/>
    </row>
    <row r="80" spans="1:33" ht="15">
      <c r="A80" s="456" t="s">
        <v>72</v>
      </c>
      <c r="B80" s="460" t="s">
        <v>609</v>
      </c>
      <c r="C80" s="463" t="s">
        <v>295</v>
      </c>
      <c r="D80" s="459">
        <v>130916</v>
      </c>
      <c r="E80" s="464">
        <v>8</v>
      </c>
      <c r="F80" s="571">
        <f t="shared" si="7"/>
        <v>162690</v>
      </c>
      <c r="G80" s="555">
        <f t="shared" si="8"/>
        <v>157752</v>
      </c>
      <c r="H80" s="448">
        <v>145885</v>
      </c>
      <c r="I80" s="449">
        <v>136779</v>
      </c>
      <c r="J80" s="450"/>
      <c r="K80" s="449"/>
      <c r="L80" s="451">
        <v>12639</v>
      </c>
      <c r="M80" s="450">
        <v>189</v>
      </c>
      <c r="N80" s="450">
        <v>3977</v>
      </c>
      <c r="O80" s="452">
        <v>13550</v>
      </c>
      <c r="P80" s="452">
        <v>276</v>
      </c>
      <c r="Q80" s="453">
        <v>7147</v>
      </c>
      <c r="R80" s="451"/>
      <c r="S80" s="453"/>
      <c r="T80" s="573">
        <f t="shared" si="9"/>
        <v>0</v>
      </c>
      <c r="U80" s="574">
        <f t="shared" si="10"/>
        <v>0</v>
      </c>
      <c r="V80" s="450"/>
      <c r="W80" s="452"/>
      <c r="X80" s="454"/>
      <c r="Y80" s="453"/>
      <c r="Z80" s="451"/>
      <c r="AA80" s="450"/>
      <c r="AB80" s="450"/>
      <c r="AC80" s="452"/>
      <c r="AD80" s="452"/>
      <c r="AE80" s="455"/>
      <c r="AF80" s="451"/>
      <c r="AG80" s="452"/>
    </row>
    <row r="81" spans="1:33" ht="15">
      <c r="A81" s="456" t="s">
        <v>72</v>
      </c>
      <c r="B81" s="457" t="s">
        <v>608</v>
      </c>
      <c r="C81" s="458"/>
      <c r="D81" s="459">
        <v>130891</v>
      </c>
      <c r="E81" s="459">
        <v>9</v>
      </c>
      <c r="F81" s="571">
        <f t="shared" si="7"/>
        <v>106464</v>
      </c>
      <c r="G81" s="555">
        <f t="shared" si="8"/>
        <v>104175</v>
      </c>
      <c r="H81" s="448">
        <v>90030</v>
      </c>
      <c r="I81" s="449">
        <v>85980</v>
      </c>
      <c r="J81" s="450"/>
      <c r="K81" s="449"/>
      <c r="L81" s="451">
        <v>14347</v>
      </c>
      <c r="M81" s="450">
        <v>341</v>
      </c>
      <c r="N81" s="450">
        <v>1746</v>
      </c>
      <c r="O81" s="452">
        <v>14675</v>
      </c>
      <c r="P81" s="452">
        <v>379</v>
      </c>
      <c r="Q81" s="453">
        <v>3141</v>
      </c>
      <c r="R81" s="451"/>
      <c r="S81" s="453"/>
      <c r="T81" s="573">
        <f t="shared" si="9"/>
        <v>0</v>
      </c>
      <c r="U81" s="574">
        <f t="shared" si="10"/>
        <v>0</v>
      </c>
      <c r="V81" s="450"/>
      <c r="W81" s="452"/>
      <c r="X81" s="454"/>
      <c r="Y81" s="453"/>
      <c r="Z81" s="451"/>
      <c r="AA81" s="450"/>
      <c r="AB81" s="450"/>
      <c r="AC81" s="452"/>
      <c r="AD81" s="452"/>
      <c r="AE81" s="455"/>
      <c r="AF81" s="451"/>
      <c r="AG81" s="452"/>
    </row>
    <row r="82" spans="1:33" ht="15">
      <c r="A82" s="456" t="s">
        <v>72</v>
      </c>
      <c r="B82" s="461" t="s">
        <v>610</v>
      </c>
      <c r="C82" s="462"/>
      <c r="D82" s="459">
        <v>130907</v>
      </c>
      <c r="E82" s="459">
        <v>9</v>
      </c>
      <c r="F82" s="571">
        <f t="shared" si="7"/>
        <v>74345</v>
      </c>
      <c r="G82" s="555">
        <f t="shared" si="8"/>
        <v>74593</v>
      </c>
      <c r="H82" s="448">
        <v>60156</v>
      </c>
      <c r="I82" s="449">
        <v>58755</v>
      </c>
      <c r="J82" s="450"/>
      <c r="K82" s="449"/>
      <c r="L82" s="451">
        <v>8114</v>
      </c>
      <c r="M82" s="450">
        <v>97</v>
      </c>
      <c r="N82" s="450">
        <v>5978</v>
      </c>
      <c r="O82" s="452">
        <v>9412</v>
      </c>
      <c r="P82" s="452">
        <v>131</v>
      </c>
      <c r="Q82" s="453">
        <v>6295</v>
      </c>
      <c r="R82" s="451"/>
      <c r="S82" s="453"/>
      <c r="T82" s="573">
        <f t="shared" si="9"/>
        <v>0</v>
      </c>
      <c r="U82" s="574">
        <f t="shared" si="10"/>
        <v>0</v>
      </c>
      <c r="V82" s="450"/>
      <c r="W82" s="452"/>
      <c r="X82" s="454"/>
      <c r="Y82" s="453"/>
      <c r="Z82" s="451"/>
      <c r="AA82" s="450"/>
      <c r="AB82" s="450"/>
      <c r="AC82" s="452"/>
      <c r="AD82" s="452"/>
      <c r="AE82" s="455"/>
      <c r="AF82" s="451"/>
      <c r="AG82" s="452"/>
    </row>
    <row r="83" spans="1:33">
      <c r="A83" s="376" t="s">
        <v>73</v>
      </c>
      <c r="B83" s="377" t="s">
        <v>338</v>
      </c>
      <c r="C83" s="378"/>
      <c r="D83" s="376">
        <v>133951</v>
      </c>
      <c r="E83" s="379">
        <v>1</v>
      </c>
      <c r="F83" s="571">
        <f t="shared" si="7"/>
        <v>897265</v>
      </c>
      <c r="G83" s="555">
        <f t="shared" si="8"/>
        <v>980018</v>
      </c>
      <c r="H83" s="380">
        <v>591080</v>
      </c>
      <c r="I83" s="381">
        <v>626050</v>
      </c>
      <c r="J83" s="380">
        <v>154504</v>
      </c>
      <c r="K83" s="382">
        <v>157723</v>
      </c>
      <c r="L83" s="383">
        <v>150251</v>
      </c>
      <c r="M83" s="380"/>
      <c r="N83" s="380">
        <v>1430</v>
      </c>
      <c r="O83" s="381">
        <v>193967</v>
      </c>
      <c r="P83" s="381"/>
      <c r="Q83" s="382">
        <v>2278</v>
      </c>
      <c r="R83" s="383"/>
      <c r="S83" s="382"/>
      <c r="T83" s="573">
        <f t="shared" si="9"/>
        <v>174422</v>
      </c>
      <c r="U83" s="574">
        <f t="shared" si="10"/>
        <v>188255</v>
      </c>
      <c r="V83" s="380">
        <v>120310</v>
      </c>
      <c r="W83" s="381">
        <v>123627</v>
      </c>
      <c r="X83" s="384">
        <v>34619</v>
      </c>
      <c r="Y83" s="382">
        <v>29986</v>
      </c>
      <c r="Z83" s="383">
        <v>18941</v>
      </c>
      <c r="AA83" s="380"/>
      <c r="AB83" s="380">
        <v>552</v>
      </c>
      <c r="AC83" s="381">
        <v>34159</v>
      </c>
      <c r="AD83" s="381"/>
      <c r="AE83" s="385">
        <v>483</v>
      </c>
      <c r="AF83" s="383"/>
      <c r="AG83" s="381"/>
    </row>
    <row r="84" spans="1:33">
      <c r="A84" s="376" t="s">
        <v>73</v>
      </c>
      <c r="B84" s="377" t="s">
        <v>339</v>
      </c>
      <c r="C84" s="378"/>
      <c r="D84" s="376">
        <v>134097</v>
      </c>
      <c r="E84" s="379">
        <v>1</v>
      </c>
      <c r="F84" s="571">
        <f t="shared" si="7"/>
        <v>972297</v>
      </c>
      <c r="G84" s="555">
        <f t="shared" si="8"/>
        <v>1008210</v>
      </c>
      <c r="H84" s="380">
        <v>827082</v>
      </c>
      <c r="I84" s="381">
        <v>838335</v>
      </c>
      <c r="J84" s="380">
        <v>64350</v>
      </c>
      <c r="K84" s="382">
        <v>66443</v>
      </c>
      <c r="L84" s="383">
        <v>31723</v>
      </c>
      <c r="M84" s="380"/>
      <c r="N84" s="380">
        <v>49142</v>
      </c>
      <c r="O84" s="381">
        <v>40110</v>
      </c>
      <c r="P84" s="381"/>
      <c r="Q84" s="382">
        <v>63322</v>
      </c>
      <c r="R84" s="383"/>
      <c r="S84" s="382"/>
      <c r="T84" s="573">
        <f t="shared" si="9"/>
        <v>184136</v>
      </c>
      <c r="U84" s="574">
        <f t="shared" si="10"/>
        <v>185434</v>
      </c>
      <c r="V84" s="380">
        <v>147674</v>
      </c>
      <c r="W84" s="381">
        <v>151416</v>
      </c>
      <c r="X84" s="384">
        <v>9717</v>
      </c>
      <c r="Y84" s="382">
        <v>10318</v>
      </c>
      <c r="Z84" s="383">
        <v>25533</v>
      </c>
      <c r="AA84" s="380"/>
      <c r="AB84" s="380">
        <v>1212</v>
      </c>
      <c r="AC84" s="381">
        <v>22623</v>
      </c>
      <c r="AD84" s="381"/>
      <c r="AE84" s="385">
        <v>1077</v>
      </c>
      <c r="AF84" s="383"/>
      <c r="AG84" s="381"/>
    </row>
    <row r="85" spans="1:33">
      <c r="A85" s="376" t="s">
        <v>73</v>
      </c>
      <c r="B85" s="377" t="s">
        <v>340</v>
      </c>
      <c r="C85" s="378"/>
      <c r="D85" s="376">
        <v>132903</v>
      </c>
      <c r="E85" s="379">
        <v>1</v>
      </c>
      <c r="F85" s="571">
        <f t="shared" si="7"/>
        <v>1281797</v>
      </c>
      <c r="G85" s="555">
        <f t="shared" si="8"/>
        <v>1343366</v>
      </c>
      <c r="H85" s="380">
        <v>854188</v>
      </c>
      <c r="I85" s="381">
        <v>827028</v>
      </c>
      <c r="J85" s="380">
        <v>99536</v>
      </c>
      <c r="K85" s="382">
        <v>101814</v>
      </c>
      <c r="L85" s="383">
        <v>319467</v>
      </c>
      <c r="M85" s="380">
        <v>1758</v>
      </c>
      <c r="N85" s="380">
        <v>6848</v>
      </c>
      <c r="O85" s="381">
        <v>414524</v>
      </c>
      <c r="P85" s="381"/>
      <c r="Q85" s="382"/>
      <c r="R85" s="383"/>
      <c r="S85" s="382"/>
      <c r="T85" s="573">
        <f t="shared" si="9"/>
        <v>140449</v>
      </c>
      <c r="U85" s="574">
        <f t="shared" si="10"/>
        <v>142457</v>
      </c>
      <c r="V85" s="380">
        <v>76050</v>
      </c>
      <c r="W85" s="381">
        <v>73305.5</v>
      </c>
      <c r="X85" s="384">
        <v>12844</v>
      </c>
      <c r="Y85" s="382">
        <v>12216.5</v>
      </c>
      <c r="Z85" s="383">
        <v>49893</v>
      </c>
      <c r="AA85" s="380">
        <v>156</v>
      </c>
      <c r="AB85" s="380">
        <v>1506</v>
      </c>
      <c r="AC85" s="381">
        <v>56935</v>
      </c>
      <c r="AD85" s="381"/>
      <c r="AE85" s="385"/>
      <c r="AF85" s="383"/>
      <c r="AG85" s="381"/>
    </row>
    <row r="86" spans="1:33">
      <c r="A86" s="376" t="s">
        <v>73</v>
      </c>
      <c r="B86" s="377" t="s">
        <v>341</v>
      </c>
      <c r="C86" s="378"/>
      <c r="D86" s="376">
        <v>134130</v>
      </c>
      <c r="E86" s="379">
        <v>1</v>
      </c>
      <c r="F86" s="571">
        <f t="shared" si="7"/>
        <v>983555</v>
      </c>
      <c r="G86" s="555">
        <f t="shared" si="8"/>
        <v>953541</v>
      </c>
      <c r="H86" s="380">
        <v>749194</v>
      </c>
      <c r="I86" s="381">
        <v>815465</v>
      </c>
      <c r="J86" s="380"/>
      <c r="K86" s="382"/>
      <c r="L86" s="383">
        <v>126058</v>
      </c>
      <c r="M86" s="380">
        <v>346</v>
      </c>
      <c r="N86" s="380">
        <v>101235</v>
      </c>
      <c r="O86" s="381">
        <v>114854</v>
      </c>
      <c r="P86" s="381"/>
      <c r="Q86" s="382">
        <v>17169</v>
      </c>
      <c r="R86" s="383">
        <v>6722</v>
      </c>
      <c r="S86" s="382">
        <v>6053</v>
      </c>
      <c r="T86" s="573">
        <f t="shared" si="9"/>
        <v>357500</v>
      </c>
      <c r="U86" s="574">
        <f t="shared" si="10"/>
        <v>317112</v>
      </c>
      <c r="V86" s="380">
        <v>265398</v>
      </c>
      <c r="W86" s="381">
        <v>265271</v>
      </c>
      <c r="X86" s="384">
        <v>30</v>
      </c>
      <c r="Y86" s="382"/>
      <c r="Z86" s="383">
        <v>47167</v>
      </c>
      <c r="AA86" s="380">
        <v>505</v>
      </c>
      <c r="AB86" s="380">
        <v>44283</v>
      </c>
      <c r="AC86" s="627">
        <v>45713</v>
      </c>
      <c r="AD86" s="381"/>
      <c r="AE86" s="385">
        <v>6128</v>
      </c>
      <c r="AF86" s="383">
        <v>117</v>
      </c>
      <c r="AG86" s="381"/>
    </row>
    <row r="87" spans="1:33">
      <c r="A87" s="376" t="s">
        <v>73</v>
      </c>
      <c r="B87" s="377" t="s">
        <v>342</v>
      </c>
      <c r="C87" s="378"/>
      <c r="D87" s="376">
        <v>137351</v>
      </c>
      <c r="E87" s="379">
        <v>1</v>
      </c>
      <c r="F87" s="571">
        <f t="shared" si="7"/>
        <v>1011653</v>
      </c>
      <c r="G87" s="555">
        <f t="shared" si="8"/>
        <v>1017967</v>
      </c>
      <c r="H87" s="380">
        <v>676590</v>
      </c>
      <c r="I87" s="381">
        <v>668322</v>
      </c>
      <c r="J87" s="380">
        <v>123581</v>
      </c>
      <c r="K87" s="382">
        <v>122188</v>
      </c>
      <c r="L87" s="383">
        <v>204478</v>
      </c>
      <c r="M87" s="380">
        <v>337</v>
      </c>
      <c r="N87" s="380">
        <v>6667</v>
      </c>
      <c r="O87" s="381">
        <v>221485</v>
      </c>
      <c r="P87" s="381"/>
      <c r="Q87" s="382">
        <v>5972</v>
      </c>
      <c r="R87" s="383"/>
      <c r="S87" s="382"/>
      <c r="T87" s="573">
        <f t="shared" si="9"/>
        <v>188864</v>
      </c>
      <c r="U87" s="574">
        <f t="shared" si="10"/>
        <v>185896</v>
      </c>
      <c r="V87" s="380">
        <v>119238</v>
      </c>
      <c r="W87" s="381">
        <v>127463</v>
      </c>
      <c r="X87" s="384">
        <v>25920</v>
      </c>
      <c r="Y87" s="382">
        <v>16823</v>
      </c>
      <c r="Z87" s="383">
        <v>43673</v>
      </c>
      <c r="AA87" s="380"/>
      <c r="AB87" s="380">
        <v>33</v>
      </c>
      <c r="AC87" s="381">
        <v>41610</v>
      </c>
      <c r="AD87" s="381"/>
      <c r="AE87" s="385"/>
      <c r="AF87" s="383"/>
      <c r="AG87" s="381"/>
    </row>
    <row r="88" spans="1:33">
      <c r="A88" s="376" t="s">
        <v>73</v>
      </c>
      <c r="B88" s="377" t="s">
        <v>343</v>
      </c>
      <c r="C88" s="378"/>
      <c r="D88" s="376">
        <v>133669</v>
      </c>
      <c r="E88" s="379">
        <v>2</v>
      </c>
      <c r="F88" s="571">
        <f t="shared" si="7"/>
        <v>570235</v>
      </c>
      <c r="G88" s="555">
        <f t="shared" si="8"/>
        <v>599677</v>
      </c>
      <c r="H88" s="380">
        <v>425119</v>
      </c>
      <c r="I88" s="381">
        <v>453166</v>
      </c>
      <c r="J88" s="380">
        <v>108075</v>
      </c>
      <c r="K88" s="382">
        <v>101742</v>
      </c>
      <c r="L88" s="383">
        <v>32865</v>
      </c>
      <c r="M88" s="380">
        <v>1870</v>
      </c>
      <c r="N88" s="380">
        <v>2306</v>
      </c>
      <c r="O88" s="381">
        <v>43380</v>
      </c>
      <c r="P88" s="381"/>
      <c r="Q88" s="382">
        <v>1389</v>
      </c>
      <c r="R88" s="383"/>
      <c r="S88" s="382"/>
      <c r="T88" s="573">
        <f t="shared" si="9"/>
        <v>80819</v>
      </c>
      <c r="U88" s="574">
        <f t="shared" si="10"/>
        <v>78558</v>
      </c>
      <c r="V88" s="380">
        <v>46326</v>
      </c>
      <c r="W88" s="381">
        <v>47144</v>
      </c>
      <c r="X88" s="384">
        <v>14834</v>
      </c>
      <c r="Y88" s="382">
        <v>12530</v>
      </c>
      <c r="Z88" s="383">
        <v>17682</v>
      </c>
      <c r="AA88" s="380">
        <v>789</v>
      </c>
      <c r="AB88" s="380">
        <v>1188</v>
      </c>
      <c r="AC88" s="627">
        <v>17717</v>
      </c>
      <c r="AD88" s="381"/>
      <c r="AE88" s="628">
        <v>1167</v>
      </c>
      <c r="AF88" s="383"/>
      <c r="AG88" s="381"/>
    </row>
    <row r="89" spans="1:33">
      <c r="A89" s="376" t="s">
        <v>73</v>
      </c>
      <c r="B89" s="377" t="s">
        <v>344</v>
      </c>
      <c r="C89" s="378" t="s">
        <v>377</v>
      </c>
      <c r="D89" s="376">
        <v>133650</v>
      </c>
      <c r="E89" s="379">
        <v>3</v>
      </c>
      <c r="F89" s="571">
        <f t="shared" si="7"/>
        <v>325761</v>
      </c>
      <c r="G89" s="555">
        <f t="shared" si="8"/>
        <v>324142</v>
      </c>
      <c r="H89" s="380">
        <v>321906</v>
      </c>
      <c r="I89" s="381">
        <v>321294</v>
      </c>
      <c r="J89" s="380">
        <v>3796</v>
      </c>
      <c r="K89" s="382">
        <v>2740</v>
      </c>
      <c r="L89" s="383"/>
      <c r="M89" s="380"/>
      <c r="N89" s="380">
        <v>59</v>
      </c>
      <c r="O89" s="381">
        <v>108</v>
      </c>
      <c r="P89" s="381"/>
      <c r="Q89" s="382"/>
      <c r="R89" s="383"/>
      <c r="S89" s="382"/>
      <c r="T89" s="573">
        <f t="shared" si="9"/>
        <v>49743</v>
      </c>
      <c r="U89" s="574">
        <f t="shared" si="10"/>
        <v>50148</v>
      </c>
      <c r="V89" s="380">
        <v>31978</v>
      </c>
      <c r="W89" s="381">
        <v>30345</v>
      </c>
      <c r="X89" s="384">
        <v>17765</v>
      </c>
      <c r="Y89" s="382">
        <v>19327</v>
      </c>
      <c r="Z89" s="383"/>
      <c r="AA89" s="380"/>
      <c r="AB89" s="380"/>
      <c r="AC89" s="381">
        <v>476</v>
      </c>
      <c r="AD89" s="381"/>
      <c r="AE89" s="385"/>
      <c r="AF89" s="383"/>
      <c r="AG89" s="381"/>
    </row>
    <row r="90" spans="1:33">
      <c r="A90" s="376" t="s">
        <v>73</v>
      </c>
      <c r="B90" s="377" t="s">
        <v>345</v>
      </c>
      <c r="C90" s="378"/>
      <c r="D90" s="376">
        <v>136172</v>
      </c>
      <c r="E90" s="379">
        <v>3</v>
      </c>
      <c r="F90" s="571">
        <f t="shared" si="7"/>
        <v>379860</v>
      </c>
      <c r="G90" s="555">
        <f t="shared" si="8"/>
        <v>382476</v>
      </c>
      <c r="H90" s="380">
        <v>360615</v>
      </c>
      <c r="I90" s="381">
        <v>358792</v>
      </c>
      <c r="J90" s="380">
        <v>4476</v>
      </c>
      <c r="K90" s="382">
        <v>3819</v>
      </c>
      <c r="L90" s="383">
        <v>14769</v>
      </c>
      <c r="M90" s="380"/>
      <c r="N90" s="380"/>
      <c r="O90" s="381">
        <v>19841</v>
      </c>
      <c r="P90" s="381"/>
      <c r="Q90" s="382">
        <v>24</v>
      </c>
      <c r="R90" s="383"/>
      <c r="S90" s="382"/>
      <c r="T90" s="573">
        <f t="shared" si="9"/>
        <v>33015</v>
      </c>
      <c r="U90" s="574">
        <f t="shared" si="10"/>
        <v>32544</v>
      </c>
      <c r="V90" s="380">
        <v>26686</v>
      </c>
      <c r="W90" s="381">
        <v>27219</v>
      </c>
      <c r="X90" s="384">
        <v>3236</v>
      </c>
      <c r="Y90" s="382">
        <v>2097</v>
      </c>
      <c r="Z90" s="383">
        <v>3093</v>
      </c>
      <c r="AA90" s="380"/>
      <c r="AB90" s="380"/>
      <c r="AC90" s="381">
        <v>3228</v>
      </c>
      <c r="AD90" s="381"/>
      <c r="AE90" s="385"/>
      <c r="AF90" s="383"/>
      <c r="AG90" s="381"/>
    </row>
    <row r="91" spans="1:33">
      <c r="A91" s="376" t="s">
        <v>73</v>
      </c>
      <c r="B91" s="377" t="s">
        <v>346</v>
      </c>
      <c r="C91" s="378"/>
      <c r="D91" s="376">
        <v>138354</v>
      </c>
      <c r="E91" s="379">
        <v>3</v>
      </c>
      <c r="F91" s="571">
        <f t="shared" si="7"/>
        <v>247942</v>
      </c>
      <c r="G91" s="555">
        <f t="shared" si="8"/>
        <v>255719.5</v>
      </c>
      <c r="H91" s="380">
        <v>128685</v>
      </c>
      <c r="I91" s="381">
        <v>130788.5</v>
      </c>
      <c r="J91" s="380">
        <v>3288</v>
      </c>
      <c r="K91" s="382">
        <v>2234</v>
      </c>
      <c r="L91" s="383">
        <v>108181</v>
      </c>
      <c r="M91" s="380">
        <v>452</v>
      </c>
      <c r="N91" s="380">
        <v>7336</v>
      </c>
      <c r="O91" s="381">
        <v>108087</v>
      </c>
      <c r="P91" s="381"/>
      <c r="Q91" s="382">
        <v>14610</v>
      </c>
      <c r="R91" s="383"/>
      <c r="S91" s="382"/>
      <c r="T91" s="573">
        <f t="shared" si="9"/>
        <v>31484</v>
      </c>
      <c r="U91" s="574">
        <f t="shared" si="10"/>
        <v>31883.5</v>
      </c>
      <c r="V91" s="380">
        <v>7934</v>
      </c>
      <c r="W91" s="381">
        <v>8739.5</v>
      </c>
      <c r="X91" s="384">
        <v>402</v>
      </c>
      <c r="Y91" s="382">
        <v>312</v>
      </c>
      <c r="Z91" s="383">
        <v>20592</v>
      </c>
      <c r="AA91" s="380">
        <v>231</v>
      </c>
      <c r="AB91" s="380">
        <v>2325</v>
      </c>
      <c r="AC91" s="381">
        <v>19723</v>
      </c>
      <c r="AD91" s="381"/>
      <c r="AE91" s="385">
        <v>3109</v>
      </c>
      <c r="AF91" s="383"/>
      <c r="AG91" s="381"/>
    </row>
    <row r="92" spans="1:33">
      <c r="A92" s="376" t="s">
        <v>73</v>
      </c>
      <c r="B92" s="377" t="s">
        <v>347</v>
      </c>
      <c r="C92" s="378"/>
      <c r="D92" s="376">
        <v>433660</v>
      </c>
      <c r="E92" s="379">
        <v>4</v>
      </c>
      <c r="F92" s="571">
        <f t="shared" si="7"/>
        <v>268823</v>
      </c>
      <c r="G92" s="555">
        <f t="shared" si="8"/>
        <v>288563</v>
      </c>
      <c r="H92" s="380">
        <v>211054</v>
      </c>
      <c r="I92" s="381">
        <v>230793</v>
      </c>
      <c r="J92" s="380">
        <v>5973</v>
      </c>
      <c r="K92" s="382">
        <v>7617</v>
      </c>
      <c r="L92" s="383">
        <v>51796</v>
      </c>
      <c r="M92" s="365"/>
      <c r="N92" s="380"/>
      <c r="O92" s="381">
        <v>50153</v>
      </c>
      <c r="P92" s="366"/>
      <c r="Q92" s="382"/>
      <c r="R92" s="383"/>
      <c r="S92" s="382"/>
      <c r="T92" s="573">
        <f t="shared" si="9"/>
        <v>24078</v>
      </c>
      <c r="U92" s="574">
        <f t="shared" si="10"/>
        <v>23963</v>
      </c>
      <c r="V92" s="380">
        <v>12553</v>
      </c>
      <c r="W92" s="381">
        <v>12943</v>
      </c>
      <c r="X92" s="384">
        <v>1376</v>
      </c>
      <c r="Y92" s="382">
        <v>1639</v>
      </c>
      <c r="Z92" s="383">
        <v>10149</v>
      </c>
      <c r="AA92" s="365"/>
      <c r="AB92" s="380"/>
      <c r="AC92" s="381">
        <v>9381</v>
      </c>
      <c r="AD92" s="366"/>
      <c r="AE92" s="385"/>
      <c r="AF92" s="383"/>
      <c r="AG92" s="381"/>
    </row>
    <row r="93" spans="1:33">
      <c r="A93" s="376" t="s">
        <v>73</v>
      </c>
      <c r="B93" s="377" t="s">
        <v>348</v>
      </c>
      <c r="C93" s="378"/>
      <c r="D93" s="376">
        <v>262129</v>
      </c>
      <c r="E93" s="379">
        <v>6</v>
      </c>
      <c r="F93" s="571">
        <f t="shared" si="7"/>
        <v>27680</v>
      </c>
      <c r="G93" s="555">
        <f t="shared" si="8"/>
        <v>28208</v>
      </c>
      <c r="H93" s="380">
        <v>27680</v>
      </c>
      <c r="I93" s="381">
        <v>28208</v>
      </c>
      <c r="J93" s="380"/>
      <c r="K93" s="382"/>
      <c r="L93" s="360"/>
      <c r="M93" s="365"/>
      <c r="N93" s="365"/>
      <c r="O93" s="366"/>
      <c r="P93" s="366"/>
      <c r="Q93" s="367"/>
      <c r="R93" s="383"/>
      <c r="S93" s="382"/>
      <c r="T93" s="573">
        <f t="shared" si="9"/>
        <v>0</v>
      </c>
      <c r="U93" s="574">
        <f t="shared" si="10"/>
        <v>0</v>
      </c>
      <c r="V93" s="380"/>
      <c r="W93" s="381"/>
      <c r="X93" s="384"/>
      <c r="Y93" s="382"/>
      <c r="Z93" s="360"/>
      <c r="AA93" s="365"/>
      <c r="AB93" s="365"/>
      <c r="AC93" s="366"/>
      <c r="AD93" s="366"/>
      <c r="AE93" s="369"/>
      <c r="AF93" s="383"/>
      <c r="AG93" s="381"/>
    </row>
    <row r="94" spans="1:33">
      <c r="A94" s="580" t="s">
        <v>73</v>
      </c>
      <c r="B94" s="568" t="s">
        <v>851</v>
      </c>
      <c r="C94" s="582"/>
      <c r="D94" s="580">
        <v>133021</v>
      </c>
      <c r="E94" s="586">
        <v>7</v>
      </c>
      <c r="F94" s="571">
        <f t="shared" si="7"/>
        <v>46218</v>
      </c>
      <c r="G94" s="555">
        <f t="shared" si="8"/>
        <v>46079</v>
      </c>
      <c r="H94" s="575">
        <v>17236</v>
      </c>
      <c r="I94" s="576">
        <v>10067</v>
      </c>
      <c r="J94" s="575">
        <v>1150</v>
      </c>
      <c r="K94" s="577">
        <v>1709</v>
      </c>
      <c r="L94" s="572">
        <v>3576</v>
      </c>
      <c r="M94" s="575">
        <v>0</v>
      </c>
      <c r="N94" s="575">
        <v>15952</v>
      </c>
      <c r="O94" s="576">
        <v>6298</v>
      </c>
      <c r="P94" s="576">
        <v>0</v>
      </c>
      <c r="Q94" s="577">
        <v>28002</v>
      </c>
      <c r="R94" s="572">
        <v>8304</v>
      </c>
      <c r="S94" s="577">
        <v>3</v>
      </c>
      <c r="T94" s="573">
        <f t="shared" si="9"/>
        <v>0</v>
      </c>
      <c r="U94" s="574">
        <f t="shared" si="10"/>
        <v>0</v>
      </c>
      <c r="V94" s="575"/>
      <c r="W94" s="576"/>
      <c r="X94" s="578"/>
      <c r="Y94" s="577"/>
      <c r="Z94" s="572"/>
      <c r="AA94" s="575"/>
      <c r="AB94" s="575"/>
      <c r="AC94" s="576"/>
      <c r="AD94" s="576"/>
      <c r="AE94" s="579"/>
      <c r="AF94" s="572"/>
      <c r="AG94" s="576"/>
    </row>
    <row r="95" spans="1:33">
      <c r="A95" s="569" t="s">
        <v>73</v>
      </c>
      <c r="B95" s="568" t="s">
        <v>852</v>
      </c>
      <c r="C95" s="583"/>
      <c r="D95" s="580">
        <v>133386</v>
      </c>
      <c r="E95" s="586">
        <v>7</v>
      </c>
      <c r="F95" s="571">
        <f t="shared" si="7"/>
        <v>403847</v>
      </c>
      <c r="G95" s="555">
        <f t="shared" si="8"/>
        <v>377587</v>
      </c>
      <c r="H95" s="575">
        <v>318148</v>
      </c>
      <c r="I95" s="576">
        <v>281729</v>
      </c>
      <c r="J95" s="575">
        <v>7</v>
      </c>
      <c r="K95" s="577">
        <v>0</v>
      </c>
      <c r="L95" s="572">
        <v>85480</v>
      </c>
      <c r="M95" s="575">
        <v>0</v>
      </c>
      <c r="N95" s="575">
        <v>212</v>
      </c>
      <c r="O95" s="576">
        <v>95837</v>
      </c>
      <c r="P95" s="576">
        <v>0</v>
      </c>
      <c r="Q95" s="577">
        <v>21</v>
      </c>
      <c r="R95" s="572">
        <v>0</v>
      </c>
      <c r="S95" s="577">
        <v>0</v>
      </c>
      <c r="T95" s="573">
        <f t="shared" si="9"/>
        <v>0</v>
      </c>
      <c r="U95" s="574">
        <f t="shared" si="10"/>
        <v>0</v>
      </c>
      <c r="V95" s="575"/>
      <c r="W95" s="576"/>
      <c r="X95" s="578"/>
      <c r="Y95" s="577"/>
      <c r="Z95" s="572"/>
      <c r="AA95" s="575"/>
      <c r="AB95" s="575"/>
      <c r="AC95" s="576"/>
      <c r="AD95" s="576"/>
      <c r="AE95" s="579"/>
      <c r="AF95" s="572"/>
      <c r="AG95" s="576"/>
    </row>
    <row r="96" spans="1:33">
      <c r="A96" s="580" t="s">
        <v>73</v>
      </c>
      <c r="B96" s="568" t="s">
        <v>853</v>
      </c>
      <c r="C96" s="583"/>
      <c r="D96" s="580">
        <v>133508</v>
      </c>
      <c r="E96" s="587">
        <v>7</v>
      </c>
      <c r="F96" s="571">
        <f t="shared" si="7"/>
        <v>360927</v>
      </c>
      <c r="G96" s="555">
        <f t="shared" si="8"/>
        <v>365357</v>
      </c>
      <c r="H96" s="575">
        <v>286589</v>
      </c>
      <c r="I96" s="576">
        <v>282235</v>
      </c>
      <c r="J96" s="575">
        <v>12937</v>
      </c>
      <c r="K96" s="577">
        <v>12797</v>
      </c>
      <c r="L96" s="572">
        <v>48140</v>
      </c>
      <c r="M96" s="575">
        <v>30</v>
      </c>
      <c r="N96" s="575">
        <v>5867</v>
      </c>
      <c r="O96" s="576">
        <v>54151</v>
      </c>
      <c r="P96" s="576">
        <v>108</v>
      </c>
      <c r="Q96" s="577">
        <v>9097</v>
      </c>
      <c r="R96" s="572">
        <v>7364</v>
      </c>
      <c r="S96" s="577">
        <v>6969</v>
      </c>
      <c r="T96" s="573">
        <f t="shared" si="9"/>
        <v>0</v>
      </c>
      <c r="U96" s="574">
        <f t="shared" si="10"/>
        <v>0</v>
      </c>
      <c r="V96" s="575"/>
      <c r="W96" s="576"/>
      <c r="X96" s="578"/>
      <c r="Y96" s="577"/>
      <c r="Z96" s="572"/>
      <c r="AA96" s="575"/>
      <c r="AB96" s="575"/>
      <c r="AC96" s="576"/>
      <c r="AD96" s="576"/>
      <c r="AE96" s="579"/>
      <c r="AF96" s="572"/>
      <c r="AG96" s="576"/>
    </row>
    <row r="97" spans="1:33">
      <c r="A97" s="580" t="s">
        <v>73</v>
      </c>
      <c r="B97" s="568" t="s">
        <v>860</v>
      </c>
      <c r="C97" s="581" t="s">
        <v>880</v>
      </c>
      <c r="D97" s="580">
        <v>133702</v>
      </c>
      <c r="E97" s="585">
        <v>7</v>
      </c>
      <c r="F97" s="571">
        <f t="shared" si="7"/>
        <v>668206</v>
      </c>
      <c r="G97" s="555">
        <f t="shared" si="8"/>
        <v>682953</v>
      </c>
      <c r="H97" s="575">
        <v>381648</v>
      </c>
      <c r="I97" s="576">
        <v>377862</v>
      </c>
      <c r="J97" s="575">
        <v>11706</v>
      </c>
      <c r="K97" s="577">
        <v>8017</v>
      </c>
      <c r="L97" s="572">
        <v>217457</v>
      </c>
      <c r="M97" s="575">
        <v>0</v>
      </c>
      <c r="N97" s="575">
        <v>57395</v>
      </c>
      <c r="O97" s="576">
        <v>297074</v>
      </c>
      <c r="P97" s="576">
        <v>0</v>
      </c>
      <c r="Q97" s="577">
        <v>0</v>
      </c>
      <c r="R97" s="572">
        <v>0</v>
      </c>
      <c r="S97" s="577">
        <v>0</v>
      </c>
      <c r="T97" s="573">
        <f t="shared" si="9"/>
        <v>0</v>
      </c>
      <c r="U97" s="574">
        <f t="shared" si="10"/>
        <v>0</v>
      </c>
      <c r="V97" s="575"/>
      <c r="W97" s="576"/>
      <c r="X97" s="578"/>
      <c r="Y97" s="577"/>
      <c r="Z97" s="572"/>
      <c r="AA97" s="575"/>
      <c r="AB97" s="575"/>
      <c r="AC97" s="576"/>
      <c r="AD97" s="576"/>
      <c r="AE97" s="579"/>
      <c r="AF97" s="572"/>
      <c r="AG97" s="576"/>
    </row>
    <row r="98" spans="1:33">
      <c r="A98" s="580" t="s">
        <v>73</v>
      </c>
      <c r="B98" s="568" t="s">
        <v>862</v>
      </c>
      <c r="C98" s="581" t="s">
        <v>880</v>
      </c>
      <c r="D98" s="580">
        <v>134608</v>
      </c>
      <c r="E98" s="585">
        <v>7</v>
      </c>
      <c r="F98" s="571">
        <f t="shared" si="7"/>
        <v>335103</v>
      </c>
      <c r="G98" s="555">
        <f t="shared" si="8"/>
        <v>341318</v>
      </c>
      <c r="H98" s="575">
        <v>246610</v>
      </c>
      <c r="I98" s="576">
        <v>248045</v>
      </c>
      <c r="J98" s="575">
        <v>11556</v>
      </c>
      <c r="K98" s="577">
        <v>10489</v>
      </c>
      <c r="L98" s="572">
        <v>57764</v>
      </c>
      <c r="M98" s="575">
        <v>2805</v>
      </c>
      <c r="N98" s="575">
        <v>16139</v>
      </c>
      <c r="O98" s="576">
        <v>61964</v>
      </c>
      <c r="P98" s="576">
        <v>0</v>
      </c>
      <c r="Q98" s="577">
        <v>20468</v>
      </c>
      <c r="R98" s="572">
        <v>229</v>
      </c>
      <c r="S98" s="577">
        <v>352</v>
      </c>
      <c r="T98" s="573">
        <f t="shared" si="9"/>
        <v>0</v>
      </c>
      <c r="U98" s="574">
        <f t="shared" si="10"/>
        <v>0</v>
      </c>
      <c r="V98" s="575"/>
      <c r="W98" s="576"/>
      <c r="X98" s="578"/>
      <c r="Y98" s="577"/>
      <c r="Z98" s="572"/>
      <c r="AA98" s="575"/>
      <c r="AB98" s="575"/>
      <c r="AC98" s="576"/>
      <c r="AD98" s="576"/>
      <c r="AE98" s="579"/>
      <c r="AF98" s="572"/>
      <c r="AG98" s="576"/>
    </row>
    <row r="99" spans="1:33">
      <c r="A99" s="569" t="s">
        <v>73</v>
      </c>
      <c r="B99" s="568" t="s">
        <v>854</v>
      </c>
      <c r="C99" s="582"/>
      <c r="D99" s="580">
        <v>135717</v>
      </c>
      <c r="E99" s="586">
        <v>7</v>
      </c>
      <c r="F99" s="571">
        <f t="shared" si="7"/>
        <v>1571735</v>
      </c>
      <c r="G99" s="555">
        <f t="shared" si="8"/>
        <v>1654124</v>
      </c>
      <c r="H99" s="575">
        <v>1423962</v>
      </c>
      <c r="I99" s="576">
        <v>1203140</v>
      </c>
      <c r="J99" s="575">
        <v>16409</v>
      </c>
      <c r="K99" s="577">
        <v>12930</v>
      </c>
      <c r="L99" s="572">
        <v>103467</v>
      </c>
      <c r="M99" s="575">
        <v>0</v>
      </c>
      <c r="N99" s="575">
        <v>27897</v>
      </c>
      <c r="O99" s="576">
        <v>397912</v>
      </c>
      <c r="P99" s="576">
        <v>0</v>
      </c>
      <c r="Q99" s="577">
        <v>40142</v>
      </c>
      <c r="R99" s="572">
        <v>0</v>
      </c>
      <c r="S99" s="577">
        <v>0</v>
      </c>
      <c r="T99" s="573">
        <f t="shared" si="9"/>
        <v>0</v>
      </c>
      <c r="U99" s="574">
        <f t="shared" si="10"/>
        <v>0</v>
      </c>
      <c r="V99" s="575"/>
      <c r="W99" s="576"/>
      <c r="X99" s="578"/>
      <c r="Y99" s="577"/>
      <c r="Z99" s="572"/>
      <c r="AA99" s="575"/>
      <c r="AB99" s="575"/>
      <c r="AC99" s="576"/>
      <c r="AD99" s="576"/>
      <c r="AE99" s="579"/>
      <c r="AF99" s="572"/>
      <c r="AG99" s="576"/>
    </row>
    <row r="100" spans="1:33">
      <c r="A100" s="580" t="s">
        <v>73</v>
      </c>
      <c r="B100" s="568" t="s">
        <v>855</v>
      </c>
      <c r="C100" s="582"/>
      <c r="D100" s="569">
        <v>136233</v>
      </c>
      <c r="E100" s="586">
        <v>7</v>
      </c>
      <c r="F100" s="571">
        <f t="shared" si="7"/>
        <v>167455</v>
      </c>
      <c r="G100" s="555">
        <f t="shared" si="8"/>
        <v>162396</v>
      </c>
      <c r="H100" s="575">
        <v>102950</v>
      </c>
      <c r="I100" s="576">
        <v>97094</v>
      </c>
      <c r="J100" s="575">
        <v>19156</v>
      </c>
      <c r="K100" s="577">
        <v>17614</v>
      </c>
      <c r="L100" s="572">
        <v>22421</v>
      </c>
      <c r="M100" s="575">
        <v>0</v>
      </c>
      <c r="N100" s="575">
        <v>11157</v>
      </c>
      <c r="O100" s="576">
        <v>24364</v>
      </c>
      <c r="P100" s="576">
        <v>0</v>
      </c>
      <c r="Q100" s="577">
        <v>13640</v>
      </c>
      <c r="R100" s="572">
        <v>11771</v>
      </c>
      <c r="S100" s="577">
        <v>9684</v>
      </c>
      <c r="T100" s="573">
        <f t="shared" si="9"/>
        <v>0</v>
      </c>
      <c r="U100" s="574">
        <f t="shared" si="10"/>
        <v>0</v>
      </c>
      <c r="V100" s="575"/>
      <c r="W100" s="576"/>
      <c r="X100" s="578"/>
      <c r="Y100" s="577"/>
      <c r="Z100" s="572"/>
      <c r="AA100" s="575"/>
      <c r="AB100" s="575"/>
      <c r="AC100" s="576"/>
      <c r="AD100" s="576"/>
      <c r="AE100" s="579"/>
      <c r="AF100" s="572"/>
      <c r="AG100" s="576"/>
    </row>
    <row r="101" spans="1:33">
      <c r="A101" s="580" t="s">
        <v>73</v>
      </c>
      <c r="B101" s="568" t="s">
        <v>856</v>
      </c>
      <c r="C101" s="582"/>
      <c r="D101" s="580">
        <v>137078</v>
      </c>
      <c r="E101" s="586">
        <v>7</v>
      </c>
      <c r="F101" s="571">
        <f t="shared" si="7"/>
        <v>649907</v>
      </c>
      <c r="G101" s="555">
        <f t="shared" si="8"/>
        <v>679694</v>
      </c>
      <c r="H101" s="575">
        <v>362169</v>
      </c>
      <c r="I101" s="576">
        <v>365714</v>
      </c>
      <c r="J101" s="575">
        <v>0</v>
      </c>
      <c r="K101" s="577">
        <v>0</v>
      </c>
      <c r="L101" s="572">
        <v>230083</v>
      </c>
      <c r="M101" s="575">
        <v>540</v>
      </c>
      <c r="N101" s="575">
        <v>54084</v>
      </c>
      <c r="O101" s="576">
        <v>254204</v>
      </c>
      <c r="P101" s="576">
        <v>426</v>
      </c>
      <c r="Q101" s="577">
        <v>54550</v>
      </c>
      <c r="R101" s="572">
        <v>3031</v>
      </c>
      <c r="S101" s="577">
        <v>4800</v>
      </c>
      <c r="T101" s="573">
        <f t="shared" si="9"/>
        <v>0</v>
      </c>
      <c r="U101" s="574">
        <f t="shared" si="10"/>
        <v>0</v>
      </c>
      <c r="V101" s="575"/>
      <c r="W101" s="576"/>
      <c r="X101" s="578"/>
      <c r="Y101" s="577"/>
      <c r="Z101" s="572"/>
      <c r="AA101" s="575"/>
      <c r="AB101" s="575"/>
      <c r="AC101" s="576"/>
      <c r="AD101" s="576"/>
      <c r="AE101" s="579"/>
      <c r="AF101" s="572"/>
      <c r="AG101" s="576"/>
    </row>
    <row r="102" spans="1:33">
      <c r="A102" s="580" t="s">
        <v>73</v>
      </c>
      <c r="B102" s="568" t="s">
        <v>857</v>
      </c>
      <c r="C102" s="582"/>
      <c r="D102" s="580">
        <v>132693</v>
      </c>
      <c r="E102" s="586">
        <v>8</v>
      </c>
      <c r="F102" s="571">
        <f t="shared" si="7"/>
        <v>360629</v>
      </c>
      <c r="G102" s="555">
        <f t="shared" si="8"/>
        <v>372944</v>
      </c>
      <c r="H102" s="575">
        <v>226058</v>
      </c>
      <c r="I102" s="576">
        <v>219853</v>
      </c>
      <c r="J102" s="575">
        <v>9299</v>
      </c>
      <c r="K102" s="577">
        <v>7202</v>
      </c>
      <c r="L102" s="572">
        <v>110135</v>
      </c>
      <c r="M102" s="575">
        <v>0</v>
      </c>
      <c r="N102" s="575">
        <v>15137</v>
      </c>
      <c r="O102" s="576">
        <v>111667</v>
      </c>
      <c r="P102" s="576">
        <v>0</v>
      </c>
      <c r="Q102" s="577">
        <v>34222</v>
      </c>
      <c r="R102" s="572">
        <v>0</v>
      </c>
      <c r="S102" s="577">
        <v>0</v>
      </c>
      <c r="T102" s="573">
        <f t="shared" si="9"/>
        <v>0</v>
      </c>
      <c r="U102" s="574">
        <f t="shared" si="10"/>
        <v>0</v>
      </c>
      <c r="V102" s="575"/>
      <c r="W102" s="576"/>
      <c r="X102" s="578"/>
      <c r="Y102" s="577"/>
      <c r="Z102" s="572"/>
      <c r="AA102" s="575"/>
      <c r="AB102" s="575"/>
      <c r="AC102" s="576"/>
      <c r="AD102" s="576"/>
      <c r="AE102" s="579"/>
      <c r="AF102" s="572"/>
      <c r="AG102" s="576"/>
    </row>
    <row r="103" spans="1:33">
      <c r="A103" s="580" t="s">
        <v>73</v>
      </c>
      <c r="B103" s="568" t="s">
        <v>858</v>
      </c>
      <c r="C103" s="584" t="s">
        <v>879</v>
      </c>
      <c r="D103" s="580">
        <v>132709</v>
      </c>
      <c r="E103" s="586">
        <v>8</v>
      </c>
      <c r="F103" s="571">
        <f t="shared" si="7"/>
        <v>870553</v>
      </c>
      <c r="G103" s="555">
        <f t="shared" si="8"/>
        <v>921681</v>
      </c>
      <c r="H103" s="575">
        <v>684329</v>
      </c>
      <c r="I103" s="576">
        <v>694714</v>
      </c>
      <c r="J103" s="575">
        <v>51796</v>
      </c>
      <c r="K103" s="577">
        <v>58276</v>
      </c>
      <c r="L103" s="572">
        <v>77703</v>
      </c>
      <c r="M103" s="575">
        <v>1084</v>
      </c>
      <c r="N103" s="575">
        <v>53505</v>
      </c>
      <c r="O103" s="576">
        <v>93235</v>
      </c>
      <c r="P103" s="576">
        <v>1035</v>
      </c>
      <c r="Q103" s="577">
        <v>73014</v>
      </c>
      <c r="R103" s="572">
        <v>2136</v>
      </c>
      <c r="S103" s="577">
        <v>1407</v>
      </c>
      <c r="T103" s="573">
        <f t="shared" si="9"/>
        <v>0</v>
      </c>
      <c r="U103" s="574">
        <f t="shared" si="10"/>
        <v>0</v>
      </c>
      <c r="V103" s="575"/>
      <c r="W103" s="576"/>
      <c r="X103" s="578"/>
      <c r="Y103" s="577"/>
      <c r="Z103" s="572"/>
      <c r="AA103" s="575"/>
      <c r="AB103" s="575"/>
      <c r="AC103" s="576"/>
      <c r="AD103" s="576"/>
      <c r="AE103" s="579"/>
      <c r="AF103" s="572"/>
      <c r="AG103" s="576"/>
    </row>
    <row r="104" spans="1:33">
      <c r="A104" s="580" t="s">
        <v>73</v>
      </c>
      <c r="B104" s="568" t="s">
        <v>859</v>
      </c>
      <c r="C104" s="583"/>
      <c r="D104" s="580">
        <v>132851</v>
      </c>
      <c r="E104" s="587">
        <v>8</v>
      </c>
      <c r="F104" s="571">
        <f t="shared" si="7"/>
        <v>179067</v>
      </c>
      <c r="G104" s="555">
        <f t="shared" si="8"/>
        <v>184131</v>
      </c>
      <c r="H104" s="575">
        <v>137662</v>
      </c>
      <c r="I104" s="576">
        <v>129758</v>
      </c>
      <c r="J104" s="575">
        <v>0</v>
      </c>
      <c r="K104" s="577">
        <v>0</v>
      </c>
      <c r="L104" s="572">
        <v>32997</v>
      </c>
      <c r="M104" s="575">
        <v>0</v>
      </c>
      <c r="N104" s="575">
        <v>8408</v>
      </c>
      <c r="O104" s="576">
        <v>42119</v>
      </c>
      <c r="P104" s="576">
        <v>0</v>
      </c>
      <c r="Q104" s="577">
        <v>12254</v>
      </c>
      <c r="R104" s="572">
        <v>0</v>
      </c>
      <c r="S104" s="577">
        <v>0</v>
      </c>
      <c r="T104" s="573">
        <f t="shared" si="9"/>
        <v>0</v>
      </c>
      <c r="U104" s="574">
        <f t="shared" si="10"/>
        <v>0</v>
      </c>
      <c r="V104" s="575"/>
      <c r="W104" s="576"/>
      <c r="X104" s="578"/>
      <c r="Y104" s="577"/>
      <c r="Z104" s="572"/>
      <c r="AA104" s="575"/>
      <c r="AB104" s="575"/>
      <c r="AC104" s="576"/>
      <c r="AD104" s="576"/>
      <c r="AE104" s="579"/>
      <c r="AF104" s="572"/>
      <c r="AG104" s="576"/>
    </row>
    <row r="105" spans="1:33">
      <c r="A105" s="580" t="s">
        <v>73</v>
      </c>
      <c r="B105" s="568" t="s">
        <v>861</v>
      </c>
      <c r="C105" s="583"/>
      <c r="D105" s="580">
        <v>134495</v>
      </c>
      <c r="E105" s="586">
        <v>8</v>
      </c>
      <c r="F105" s="571">
        <f t="shared" si="7"/>
        <v>591140</v>
      </c>
      <c r="G105" s="555">
        <f t="shared" si="8"/>
        <v>603772</v>
      </c>
      <c r="H105" s="575">
        <v>491367</v>
      </c>
      <c r="I105" s="576">
        <v>474178</v>
      </c>
      <c r="J105" s="575">
        <v>14673</v>
      </c>
      <c r="K105" s="577">
        <v>14273</v>
      </c>
      <c r="L105" s="572">
        <v>61044</v>
      </c>
      <c r="M105" s="575">
        <v>0</v>
      </c>
      <c r="N105" s="575">
        <v>24056</v>
      </c>
      <c r="O105" s="576">
        <v>69571</v>
      </c>
      <c r="P105" s="576">
        <v>0</v>
      </c>
      <c r="Q105" s="577">
        <v>45750</v>
      </c>
      <c r="R105" s="572">
        <v>0</v>
      </c>
      <c r="S105" s="577">
        <v>0</v>
      </c>
      <c r="T105" s="573">
        <f t="shared" si="9"/>
        <v>0</v>
      </c>
      <c r="U105" s="574">
        <f t="shared" si="10"/>
        <v>0</v>
      </c>
      <c r="V105" s="575"/>
      <c r="W105" s="576"/>
      <c r="X105" s="578"/>
      <c r="Y105" s="577"/>
      <c r="Z105" s="572"/>
      <c r="AA105" s="575"/>
      <c r="AB105" s="575"/>
      <c r="AC105" s="576"/>
      <c r="AD105" s="576"/>
      <c r="AE105" s="579"/>
      <c r="AF105" s="572"/>
      <c r="AG105" s="576"/>
    </row>
    <row r="106" spans="1:33">
      <c r="A106" s="580" t="s">
        <v>73</v>
      </c>
      <c r="B106" s="568" t="s">
        <v>863</v>
      </c>
      <c r="C106" s="584" t="s">
        <v>879</v>
      </c>
      <c r="D106" s="580">
        <v>136358</v>
      </c>
      <c r="E106" s="586">
        <v>8</v>
      </c>
      <c r="F106" s="571">
        <f t="shared" si="7"/>
        <v>566788</v>
      </c>
      <c r="G106" s="555">
        <f t="shared" si="8"/>
        <v>592459</v>
      </c>
      <c r="H106" s="575">
        <v>445259</v>
      </c>
      <c r="I106" s="576">
        <v>464781</v>
      </c>
      <c r="J106" s="575">
        <v>11941</v>
      </c>
      <c r="K106" s="577">
        <v>12088</v>
      </c>
      <c r="L106" s="572">
        <v>79376</v>
      </c>
      <c r="M106" s="575">
        <v>714</v>
      </c>
      <c r="N106" s="575">
        <v>29498</v>
      </c>
      <c r="O106" s="576">
        <v>100613</v>
      </c>
      <c r="P106" s="576">
        <v>1947</v>
      </c>
      <c r="Q106" s="577">
        <v>13030</v>
      </c>
      <c r="R106" s="572">
        <v>0</v>
      </c>
      <c r="S106" s="577">
        <v>0</v>
      </c>
      <c r="T106" s="573">
        <f t="shared" si="9"/>
        <v>0</v>
      </c>
      <c r="U106" s="574">
        <f t="shared" si="10"/>
        <v>0</v>
      </c>
      <c r="V106" s="575"/>
      <c r="W106" s="576"/>
      <c r="X106" s="578"/>
      <c r="Y106" s="577"/>
      <c r="Z106" s="572"/>
      <c r="AA106" s="575"/>
      <c r="AB106" s="575"/>
      <c r="AC106" s="576"/>
      <c r="AD106" s="576"/>
      <c r="AE106" s="579"/>
      <c r="AF106" s="572"/>
      <c r="AG106" s="576"/>
    </row>
    <row r="107" spans="1:33">
      <c r="A107" s="580" t="s">
        <v>73</v>
      </c>
      <c r="B107" s="568" t="s">
        <v>864</v>
      </c>
      <c r="C107" s="583"/>
      <c r="D107" s="580">
        <v>136400</v>
      </c>
      <c r="E107" s="586">
        <v>8</v>
      </c>
      <c r="F107" s="571">
        <f t="shared" si="7"/>
        <v>211011</v>
      </c>
      <c r="G107" s="555">
        <f t="shared" si="8"/>
        <v>222781</v>
      </c>
      <c r="H107" s="575">
        <v>174539</v>
      </c>
      <c r="I107" s="576">
        <v>179472</v>
      </c>
      <c r="J107" s="575">
        <v>5466</v>
      </c>
      <c r="K107" s="577">
        <v>7663</v>
      </c>
      <c r="L107" s="572">
        <v>30401</v>
      </c>
      <c r="M107" s="575">
        <v>0</v>
      </c>
      <c r="N107" s="575">
        <v>605</v>
      </c>
      <c r="O107" s="576">
        <v>35150</v>
      </c>
      <c r="P107" s="576">
        <v>0</v>
      </c>
      <c r="Q107" s="577">
        <v>496</v>
      </c>
      <c r="R107" s="572">
        <v>0</v>
      </c>
      <c r="S107" s="577">
        <v>0</v>
      </c>
      <c r="T107" s="573">
        <f t="shared" si="9"/>
        <v>0</v>
      </c>
      <c r="U107" s="574">
        <f t="shared" si="10"/>
        <v>0</v>
      </c>
      <c r="V107" s="575"/>
      <c r="W107" s="576"/>
      <c r="X107" s="578"/>
      <c r="Y107" s="577"/>
      <c r="Z107" s="572"/>
      <c r="AA107" s="575"/>
      <c r="AB107" s="575"/>
      <c r="AC107" s="576"/>
      <c r="AD107" s="576"/>
      <c r="AE107" s="579"/>
      <c r="AF107" s="572"/>
      <c r="AG107" s="576"/>
    </row>
    <row r="108" spans="1:33">
      <c r="A108" s="580" t="s">
        <v>73</v>
      </c>
      <c r="B108" s="568" t="s">
        <v>865</v>
      </c>
      <c r="C108" s="583"/>
      <c r="D108" s="580">
        <v>136473</v>
      </c>
      <c r="E108" s="586">
        <v>8</v>
      </c>
      <c r="F108" s="571">
        <f t="shared" si="7"/>
        <v>245092</v>
      </c>
      <c r="G108" s="555">
        <f t="shared" si="8"/>
        <v>252635</v>
      </c>
      <c r="H108" s="575">
        <v>196410</v>
      </c>
      <c r="I108" s="576">
        <v>196934</v>
      </c>
      <c r="J108" s="575">
        <v>10437</v>
      </c>
      <c r="K108" s="577">
        <v>11484</v>
      </c>
      <c r="L108" s="572">
        <v>34726</v>
      </c>
      <c r="M108" s="575">
        <v>0</v>
      </c>
      <c r="N108" s="575">
        <v>3519</v>
      </c>
      <c r="O108" s="576">
        <v>37524</v>
      </c>
      <c r="P108" s="576">
        <v>0</v>
      </c>
      <c r="Q108" s="577">
        <v>6693</v>
      </c>
      <c r="R108" s="572">
        <v>0</v>
      </c>
      <c r="S108" s="577">
        <v>0</v>
      </c>
      <c r="T108" s="573">
        <f t="shared" si="9"/>
        <v>0</v>
      </c>
      <c r="U108" s="574">
        <f t="shared" si="10"/>
        <v>0</v>
      </c>
      <c r="V108" s="575"/>
      <c r="W108" s="576"/>
      <c r="X108" s="578"/>
      <c r="Y108" s="577"/>
      <c r="Z108" s="572"/>
      <c r="AA108" s="575"/>
      <c r="AB108" s="575"/>
      <c r="AC108" s="576"/>
      <c r="AD108" s="576"/>
      <c r="AE108" s="579"/>
      <c r="AF108" s="572"/>
      <c r="AG108" s="576"/>
    </row>
    <row r="109" spans="1:33">
      <c r="A109" s="580" t="s">
        <v>73</v>
      </c>
      <c r="B109" s="568" t="s">
        <v>866</v>
      </c>
      <c r="C109" s="584" t="s">
        <v>879</v>
      </c>
      <c r="D109" s="580">
        <v>136516</v>
      </c>
      <c r="E109" s="586">
        <v>8</v>
      </c>
      <c r="F109" s="571">
        <f t="shared" si="7"/>
        <v>206465</v>
      </c>
      <c r="G109" s="555">
        <f t="shared" si="8"/>
        <v>219030</v>
      </c>
      <c r="H109" s="575">
        <v>157717</v>
      </c>
      <c r="I109" s="576">
        <v>156282</v>
      </c>
      <c r="J109" s="575">
        <v>11291</v>
      </c>
      <c r="K109" s="577">
        <v>13405</v>
      </c>
      <c r="L109" s="572">
        <v>26838</v>
      </c>
      <c r="M109" s="575">
        <v>0</v>
      </c>
      <c r="N109" s="575">
        <v>10619</v>
      </c>
      <c r="O109" s="576">
        <v>35600</v>
      </c>
      <c r="P109" s="576">
        <v>0</v>
      </c>
      <c r="Q109" s="577">
        <v>13743</v>
      </c>
      <c r="R109" s="572">
        <v>0</v>
      </c>
      <c r="S109" s="577">
        <v>0</v>
      </c>
      <c r="T109" s="573">
        <f t="shared" si="9"/>
        <v>0</v>
      </c>
      <c r="U109" s="574">
        <f t="shared" si="10"/>
        <v>0</v>
      </c>
      <c r="V109" s="575"/>
      <c r="W109" s="576"/>
      <c r="X109" s="578"/>
      <c r="Y109" s="577"/>
      <c r="Z109" s="572"/>
      <c r="AA109" s="575"/>
      <c r="AB109" s="575"/>
      <c r="AC109" s="576"/>
      <c r="AD109" s="576"/>
      <c r="AE109" s="579"/>
      <c r="AF109" s="572"/>
      <c r="AG109" s="576"/>
    </row>
    <row r="110" spans="1:33">
      <c r="A110" s="580" t="s">
        <v>73</v>
      </c>
      <c r="B110" s="568" t="s">
        <v>867</v>
      </c>
      <c r="C110" s="583"/>
      <c r="D110" s="580">
        <v>137096</v>
      </c>
      <c r="E110" s="586">
        <v>8</v>
      </c>
      <c r="F110" s="571">
        <f t="shared" si="7"/>
        <v>359098</v>
      </c>
      <c r="G110" s="555">
        <f t="shared" si="8"/>
        <v>363960</v>
      </c>
      <c r="H110" s="575">
        <v>276151</v>
      </c>
      <c r="I110" s="576">
        <v>268875</v>
      </c>
      <c r="J110" s="575">
        <v>3887</v>
      </c>
      <c r="K110" s="577">
        <v>4423</v>
      </c>
      <c r="L110" s="572">
        <v>58580</v>
      </c>
      <c r="M110" s="575">
        <v>0</v>
      </c>
      <c r="N110" s="575">
        <v>20480</v>
      </c>
      <c r="O110" s="576">
        <v>65615</v>
      </c>
      <c r="P110" s="576">
        <v>0</v>
      </c>
      <c r="Q110" s="577">
        <v>25047</v>
      </c>
      <c r="R110" s="572">
        <v>0</v>
      </c>
      <c r="S110" s="577">
        <v>0</v>
      </c>
      <c r="T110" s="573">
        <f t="shared" si="9"/>
        <v>0</v>
      </c>
      <c r="U110" s="574">
        <f t="shared" si="10"/>
        <v>0</v>
      </c>
      <c r="V110" s="575"/>
      <c r="W110" s="576"/>
      <c r="X110" s="578"/>
      <c r="Y110" s="577"/>
      <c r="Z110" s="572"/>
      <c r="AA110" s="575"/>
      <c r="AB110" s="575"/>
      <c r="AC110" s="576"/>
      <c r="AD110" s="576"/>
      <c r="AE110" s="579"/>
      <c r="AF110" s="572"/>
      <c r="AG110" s="576"/>
    </row>
    <row r="111" spans="1:33">
      <c r="A111" s="580" t="s">
        <v>73</v>
      </c>
      <c r="B111" s="568" t="s">
        <v>868</v>
      </c>
      <c r="C111" s="583"/>
      <c r="D111" s="580">
        <v>137209</v>
      </c>
      <c r="E111" s="586">
        <v>8</v>
      </c>
      <c r="F111" s="571">
        <f t="shared" si="7"/>
        <v>398887</v>
      </c>
      <c r="G111" s="555">
        <f t="shared" si="8"/>
        <v>415156</v>
      </c>
      <c r="H111" s="575">
        <v>319443</v>
      </c>
      <c r="I111" s="576">
        <v>329072</v>
      </c>
      <c r="J111" s="575">
        <v>0</v>
      </c>
      <c r="K111" s="577">
        <v>0</v>
      </c>
      <c r="L111" s="572">
        <v>74132</v>
      </c>
      <c r="M111" s="575">
        <v>0</v>
      </c>
      <c r="N111" s="575">
        <v>5312</v>
      </c>
      <c r="O111" s="576">
        <v>81623</v>
      </c>
      <c r="P111" s="576">
        <v>0</v>
      </c>
      <c r="Q111" s="577">
        <v>4461</v>
      </c>
      <c r="R111" s="572">
        <v>0</v>
      </c>
      <c r="S111" s="577">
        <v>0</v>
      </c>
      <c r="T111" s="573">
        <f t="shared" si="9"/>
        <v>0</v>
      </c>
      <c r="U111" s="574">
        <f t="shared" si="10"/>
        <v>0</v>
      </c>
      <c r="V111" s="575"/>
      <c r="W111" s="576"/>
      <c r="X111" s="578"/>
      <c r="Y111" s="577"/>
      <c r="Z111" s="572"/>
      <c r="AA111" s="575"/>
      <c r="AB111" s="575"/>
      <c r="AC111" s="576"/>
      <c r="AD111" s="576"/>
      <c r="AE111" s="579"/>
      <c r="AF111" s="572"/>
      <c r="AG111" s="576"/>
    </row>
    <row r="112" spans="1:33">
      <c r="A112" s="580" t="s">
        <v>73</v>
      </c>
      <c r="B112" s="568" t="s">
        <v>869</v>
      </c>
      <c r="C112" s="584" t="s">
        <v>879</v>
      </c>
      <c r="D112" s="580">
        <v>135391</v>
      </c>
      <c r="E112" s="586">
        <v>8</v>
      </c>
      <c r="F112" s="571">
        <f t="shared" si="7"/>
        <v>276380</v>
      </c>
      <c r="G112" s="555">
        <f t="shared" si="8"/>
        <v>258433</v>
      </c>
      <c r="H112" s="575">
        <v>223582</v>
      </c>
      <c r="I112" s="576">
        <v>193907</v>
      </c>
      <c r="J112" s="575">
        <v>9372</v>
      </c>
      <c r="K112" s="577">
        <v>9332</v>
      </c>
      <c r="L112" s="572">
        <v>30775</v>
      </c>
      <c r="M112" s="575">
        <v>1569</v>
      </c>
      <c r="N112" s="575">
        <v>11082</v>
      </c>
      <c r="O112" s="576">
        <v>38391</v>
      </c>
      <c r="P112" s="576">
        <v>1416</v>
      </c>
      <c r="Q112" s="577">
        <v>15387</v>
      </c>
      <c r="R112" s="572">
        <v>0</v>
      </c>
      <c r="S112" s="577">
        <v>0</v>
      </c>
      <c r="T112" s="573">
        <f t="shared" si="9"/>
        <v>0</v>
      </c>
      <c r="U112" s="574">
        <f t="shared" si="10"/>
        <v>0</v>
      </c>
      <c r="V112" s="575"/>
      <c r="W112" s="576"/>
      <c r="X112" s="578"/>
      <c r="Y112" s="577"/>
      <c r="Z112" s="572"/>
      <c r="AA112" s="575"/>
      <c r="AB112" s="575"/>
      <c r="AC112" s="576"/>
      <c r="AD112" s="576"/>
      <c r="AE112" s="579"/>
      <c r="AF112" s="572"/>
      <c r="AG112" s="576"/>
    </row>
    <row r="113" spans="1:33">
      <c r="A113" s="580" t="s">
        <v>73</v>
      </c>
      <c r="B113" s="568" t="s">
        <v>870</v>
      </c>
      <c r="C113" s="583"/>
      <c r="D113" s="580">
        <v>137759</v>
      </c>
      <c r="E113" s="586">
        <v>8</v>
      </c>
      <c r="F113" s="571">
        <f t="shared" si="7"/>
        <v>342820</v>
      </c>
      <c r="G113" s="555">
        <f t="shared" si="8"/>
        <v>352517</v>
      </c>
      <c r="H113" s="575">
        <v>165250</v>
      </c>
      <c r="I113" s="576">
        <v>34131</v>
      </c>
      <c r="J113" s="575">
        <v>3054</v>
      </c>
      <c r="K113" s="577">
        <v>1753</v>
      </c>
      <c r="L113" s="572">
        <v>18829</v>
      </c>
      <c r="M113" s="575">
        <v>0</v>
      </c>
      <c r="N113" s="575">
        <v>155687</v>
      </c>
      <c r="O113" s="576">
        <v>32092</v>
      </c>
      <c r="P113" s="576">
        <v>0</v>
      </c>
      <c r="Q113" s="577">
        <v>284541</v>
      </c>
      <c r="R113" s="572">
        <v>0</v>
      </c>
      <c r="S113" s="577">
        <v>0</v>
      </c>
      <c r="T113" s="573">
        <f t="shared" si="9"/>
        <v>0</v>
      </c>
      <c r="U113" s="574">
        <f t="shared" si="10"/>
        <v>0</v>
      </c>
      <c r="V113" s="575"/>
      <c r="W113" s="576"/>
      <c r="X113" s="578"/>
      <c r="Y113" s="577"/>
      <c r="Z113" s="572"/>
      <c r="AA113" s="575"/>
      <c r="AB113" s="575"/>
      <c r="AC113" s="576"/>
      <c r="AD113" s="576"/>
      <c r="AE113" s="579"/>
      <c r="AF113" s="572"/>
      <c r="AG113" s="576"/>
    </row>
    <row r="114" spans="1:33">
      <c r="A114" s="580" t="s">
        <v>73</v>
      </c>
      <c r="B114" s="568" t="s">
        <v>871</v>
      </c>
      <c r="C114" s="583"/>
      <c r="D114" s="580">
        <v>138187</v>
      </c>
      <c r="E114" s="586">
        <v>8</v>
      </c>
      <c r="F114" s="571">
        <f t="shared" si="7"/>
        <v>915042</v>
      </c>
      <c r="G114" s="555">
        <f t="shared" si="8"/>
        <v>943242</v>
      </c>
      <c r="H114" s="575">
        <v>715709</v>
      </c>
      <c r="I114" s="576">
        <v>711310</v>
      </c>
      <c r="J114" s="575">
        <v>0</v>
      </c>
      <c r="K114" s="577">
        <v>0</v>
      </c>
      <c r="L114" s="572">
        <v>161499</v>
      </c>
      <c r="M114" s="575">
        <v>0</v>
      </c>
      <c r="N114" s="575">
        <v>37834</v>
      </c>
      <c r="O114" s="576">
        <v>176569</v>
      </c>
      <c r="P114" s="576">
        <v>0</v>
      </c>
      <c r="Q114" s="577">
        <v>55363</v>
      </c>
      <c r="R114" s="572">
        <v>0</v>
      </c>
      <c r="S114" s="577">
        <v>0</v>
      </c>
      <c r="T114" s="573">
        <f t="shared" si="9"/>
        <v>0</v>
      </c>
      <c r="U114" s="574">
        <f t="shared" si="10"/>
        <v>0</v>
      </c>
      <c r="V114" s="575"/>
      <c r="W114" s="576"/>
      <c r="X114" s="578"/>
      <c r="Y114" s="577"/>
      <c r="Z114" s="572"/>
      <c r="AA114" s="575"/>
      <c r="AB114" s="575"/>
      <c r="AC114" s="576"/>
      <c r="AD114" s="576"/>
      <c r="AE114" s="579"/>
      <c r="AF114" s="572"/>
      <c r="AG114" s="576"/>
    </row>
    <row r="115" spans="1:33">
      <c r="A115" s="580" t="s">
        <v>73</v>
      </c>
      <c r="B115" s="570" t="s">
        <v>872</v>
      </c>
      <c r="C115" s="584"/>
      <c r="D115" s="580">
        <v>134343</v>
      </c>
      <c r="E115" s="586">
        <v>9</v>
      </c>
      <c r="F115" s="571">
        <f t="shared" si="7"/>
        <v>138911</v>
      </c>
      <c r="G115" s="555">
        <f t="shared" si="8"/>
        <v>138301</v>
      </c>
      <c r="H115" s="575">
        <v>92440</v>
      </c>
      <c r="I115" s="576">
        <v>90065</v>
      </c>
      <c r="J115" s="575">
        <v>13282</v>
      </c>
      <c r="K115" s="577">
        <v>12541</v>
      </c>
      <c r="L115" s="572">
        <v>29336</v>
      </c>
      <c r="M115" s="575">
        <v>2299</v>
      </c>
      <c r="N115" s="575">
        <v>1554</v>
      </c>
      <c r="O115" s="576">
        <v>31695</v>
      </c>
      <c r="P115" s="576">
        <v>2224</v>
      </c>
      <c r="Q115" s="577">
        <v>1776</v>
      </c>
      <c r="R115" s="572">
        <v>0</v>
      </c>
      <c r="S115" s="577">
        <v>0</v>
      </c>
      <c r="T115" s="573">
        <f t="shared" si="9"/>
        <v>0</v>
      </c>
      <c r="U115" s="574">
        <f t="shared" si="10"/>
        <v>0</v>
      </c>
      <c r="V115" s="575"/>
      <c r="W115" s="576"/>
      <c r="X115" s="578"/>
      <c r="Y115" s="577"/>
      <c r="Z115" s="572"/>
      <c r="AA115" s="575"/>
      <c r="AB115" s="575"/>
      <c r="AC115" s="576"/>
      <c r="AD115" s="576"/>
      <c r="AE115" s="579"/>
      <c r="AF115" s="572"/>
      <c r="AG115" s="576"/>
    </row>
    <row r="116" spans="1:33">
      <c r="A116" s="580" t="s">
        <v>73</v>
      </c>
      <c r="B116" s="568" t="s">
        <v>873</v>
      </c>
      <c r="C116" s="582"/>
      <c r="D116" s="580">
        <v>135160</v>
      </c>
      <c r="E116" s="586">
        <v>9</v>
      </c>
      <c r="F116" s="571">
        <f t="shared" si="7"/>
        <v>58982</v>
      </c>
      <c r="G116" s="555">
        <f t="shared" si="8"/>
        <v>59830</v>
      </c>
      <c r="H116" s="575">
        <v>32078</v>
      </c>
      <c r="I116" s="576">
        <v>30588</v>
      </c>
      <c r="J116" s="575">
        <v>1563</v>
      </c>
      <c r="K116" s="577">
        <v>2137</v>
      </c>
      <c r="L116" s="572">
        <v>22508</v>
      </c>
      <c r="M116" s="575">
        <v>1313</v>
      </c>
      <c r="N116" s="575">
        <v>1520</v>
      </c>
      <c r="O116" s="576">
        <v>23566</v>
      </c>
      <c r="P116" s="576">
        <v>1662</v>
      </c>
      <c r="Q116" s="577">
        <v>1877</v>
      </c>
      <c r="R116" s="572">
        <v>0</v>
      </c>
      <c r="S116" s="577">
        <v>0</v>
      </c>
      <c r="T116" s="573">
        <f t="shared" si="9"/>
        <v>0</v>
      </c>
      <c r="U116" s="574">
        <f t="shared" si="10"/>
        <v>0</v>
      </c>
      <c r="V116" s="575"/>
      <c r="W116" s="428"/>
      <c r="X116" s="578"/>
      <c r="Y116" s="577"/>
      <c r="Z116" s="572"/>
      <c r="AA116" s="575"/>
      <c r="AB116" s="575"/>
      <c r="AC116" s="576"/>
      <c r="AD116" s="576"/>
      <c r="AE116" s="579"/>
      <c r="AF116" s="572"/>
      <c r="AG116" s="576"/>
    </row>
    <row r="117" spans="1:33">
      <c r="A117" s="580" t="s">
        <v>73</v>
      </c>
      <c r="B117" s="568" t="s">
        <v>874</v>
      </c>
      <c r="C117" s="582"/>
      <c r="D117" s="580">
        <v>135188</v>
      </c>
      <c r="E117" s="586">
        <v>9</v>
      </c>
      <c r="F117" s="571">
        <f t="shared" si="7"/>
        <v>97432</v>
      </c>
      <c r="G117" s="555">
        <f t="shared" si="8"/>
        <v>97223</v>
      </c>
      <c r="H117" s="575">
        <v>77814</v>
      </c>
      <c r="I117" s="576">
        <v>78086</v>
      </c>
      <c r="J117" s="575">
        <v>0</v>
      </c>
      <c r="K117" s="577">
        <v>0</v>
      </c>
      <c r="L117" s="572">
        <v>5680</v>
      </c>
      <c r="M117" s="575">
        <v>0</v>
      </c>
      <c r="N117" s="575">
        <v>13938</v>
      </c>
      <c r="O117" s="576">
        <v>6341</v>
      </c>
      <c r="P117" s="576">
        <v>0</v>
      </c>
      <c r="Q117" s="577">
        <v>12796</v>
      </c>
      <c r="R117" s="572">
        <v>0</v>
      </c>
      <c r="S117" s="577">
        <v>0</v>
      </c>
      <c r="T117" s="573">
        <f t="shared" si="9"/>
        <v>0</v>
      </c>
      <c r="U117" s="574">
        <f t="shared" si="10"/>
        <v>0</v>
      </c>
      <c r="V117" s="575"/>
      <c r="W117" s="576"/>
      <c r="X117" s="578"/>
      <c r="Y117" s="577"/>
      <c r="Z117" s="572"/>
      <c r="AA117" s="575"/>
      <c r="AB117" s="575"/>
      <c r="AC117" s="576"/>
      <c r="AD117" s="576"/>
      <c r="AE117" s="579"/>
      <c r="AF117" s="572"/>
      <c r="AG117" s="576"/>
    </row>
    <row r="118" spans="1:33">
      <c r="A118" s="580" t="s">
        <v>73</v>
      </c>
      <c r="B118" s="568" t="s">
        <v>875</v>
      </c>
      <c r="C118" s="582"/>
      <c r="D118" s="580">
        <v>137315</v>
      </c>
      <c r="E118" s="586">
        <v>9</v>
      </c>
      <c r="F118" s="571">
        <f t="shared" si="7"/>
        <v>49486</v>
      </c>
      <c r="G118" s="555">
        <f t="shared" si="8"/>
        <v>47356</v>
      </c>
      <c r="H118" s="575">
        <v>15775</v>
      </c>
      <c r="I118" s="576">
        <v>4870</v>
      </c>
      <c r="J118" s="575">
        <v>7763</v>
      </c>
      <c r="K118" s="577">
        <v>2284</v>
      </c>
      <c r="L118" s="572">
        <v>6436</v>
      </c>
      <c r="M118" s="575">
        <v>1248</v>
      </c>
      <c r="N118" s="575">
        <v>17691</v>
      </c>
      <c r="O118" s="576">
        <v>5590</v>
      </c>
      <c r="P118" s="576">
        <v>1251</v>
      </c>
      <c r="Q118" s="577">
        <v>27204</v>
      </c>
      <c r="R118" s="572">
        <v>573</v>
      </c>
      <c r="S118" s="577">
        <v>6157</v>
      </c>
      <c r="T118" s="573">
        <f t="shared" si="9"/>
        <v>0</v>
      </c>
      <c r="U118" s="574">
        <f t="shared" si="10"/>
        <v>0</v>
      </c>
      <c r="V118" s="575"/>
      <c r="W118" s="576"/>
      <c r="X118" s="578"/>
      <c r="Y118" s="577"/>
      <c r="Z118" s="572"/>
      <c r="AA118" s="575"/>
      <c r="AB118" s="575"/>
      <c r="AC118" s="576"/>
      <c r="AD118" s="576"/>
      <c r="AE118" s="579"/>
      <c r="AF118" s="572"/>
      <c r="AG118" s="576"/>
    </row>
    <row r="119" spans="1:33">
      <c r="A119" s="580" t="s">
        <v>73</v>
      </c>
      <c r="B119" s="568" t="s">
        <v>876</v>
      </c>
      <c r="C119" s="583" t="s">
        <v>879</v>
      </c>
      <c r="D119" s="580">
        <v>137281</v>
      </c>
      <c r="E119" s="586">
        <v>9</v>
      </c>
      <c r="F119" s="571">
        <f t="shared" si="7"/>
        <v>139519</v>
      </c>
      <c r="G119" s="555">
        <f t="shared" si="8"/>
        <v>143030</v>
      </c>
      <c r="H119" s="575">
        <v>98958</v>
      </c>
      <c r="I119" s="576">
        <v>96680</v>
      </c>
      <c r="J119" s="575">
        <v>7702</v>
      </c>
      <c r="K119" s="577">
        <v>9314</v>
      </c>
      <c r="L119" s="572">
        <v>30261</v>
      </c>
      <c r="M119" s="575">
        <v>0</v>
      </c>
      <c r="N119" s="575">
        <v>2598</v>
      </c>
      <c r="O119" s="576">
        <v>31509</v>
      </c>
      <c r="P119" s="576">
        <v>0</v>
      </c>
      <c r="Q119" s="577">
        <v>5527</v>
      </c>
      <c r="R119" s="572">
        <v>0</v>
      </c>
      <c r="S119" s="577">
        <v>0</v>
      </c>
      <c r="T119" s="573">
        <f t="shared" si="9"/>
        <v>0</v>
      </c>
      <c r="U119" s="574">
        <f t="shared" si="10"/>
        <v>0</v>
      </c>
      <c r="V119" s="575"/>
      <c r="W119" s="576"/>
      <c r="X119" s="578"/>
      <c r="Y119" s="577"/>
      <c r="Z119" s="572"/>
      <c r="AA119" s="575"/>
      <c r="AB119" s="575"/>
      <c r="AC119" s="576"/>
      <c r="AD119" s="576"/>
      <c r="AE119" s="579"/>
      <c r="AF119" s="572"/>
      <c r="AG119" s="576"/>
    </row>
    <row r="120" spans="1:33">
      <c r="A120" s="580" t="s">
        <v>73</v>
      </c>
      <c r="B120" s="568" t="s">
        <v>877</v>
      </c>
      <c r="C120" s="582"/>
      <c r="D120" s="580">
        <v>133960</v>
      </c>
      <c r="E120" s="586">
        <v>10</v>
      </c>
      <c r="F120" s="571">
        <f t="shared" si="7"/>
        <v>29899</v>
      </c>
      <c r="G120" s="555">
        <f t="shared" si="8"/>
        <v>27535</v>
      </c>
      <c r="H120" s="575">
        <v>24788</v>
      </c>
      <c r="I120" s="576">
        <v>20266</v>
      </c>
      <c r="J120" s="575">
        <v>1298</v>
      </c>
      <c r="K120" s="577">
        <v>1058</v>
      </c>
      <c r="L120" s="572">
        <v>3191</v>
      </c>
      <c r="M120" s="575">
        <v>110</v>
      </c>
      <c r="N120" s="575">
        <v>512</v>
      </c>
      <c r="O120" s="576">
        <v>3723</v>
      </c>
      <c r="P120" s="576">
        <v>0</v>
      </c>
      <c r="Q120" s="577">
        <v>2488</v>
      </c>
      <c r="R120" s="572">
        <v>0</v>
      </c>
      <c r="S120" s="577">
        <v>0</v>
      </c>
      <c r="T120" s="573">
        <f t="shared" si="9"/>
        <v>0</v>
      </c>
      <c r="U120" s="574">
        <f t="shared" si="10"/>
        <v>0</v>
      </c>
      <c r="V120" s="575"/>
      <c r="W120" s="576"/>
      <c r="X120" s="578"/>
      <c r="Y120" s="577"/>
      <c r="Z120" s="572"/>
      <c r="AA120" s="575"/>
      <c r="AB120" s="575"/>
      <c r="AC120" s="576"/>
      <c r="AD120" s="576"/>
      <c r="AE120" s="579"/>
      <c r="AF120" s="572"/>
      <c r="AG120" s="576"/>
    </row>
    <row r="121" spans="1:33">
      <c r="A121" s="580" t="s">
        <v>73</v>
      </c>
      <c r="B121" s="568" t="s">
        <v>878</v>
      </c>
      <c r="C121" s="582"/>
      <c r="D121" s="580">
        <v>136145</v>
      </c>
      <c r="E121" s="586">
        <v>10</v>
      </c>
      <c r="F121" s="571">
        <f t="shared" si="7"/>
        <v>25936</v>
      </c>
      <c r="G121" s="555">
        <f t="shared" si="8"/>
        <v>26319</v>
      </c>
      <c r="H121" s="575">
        <v>12168</v>
      </c>
      <c r="I121" s="576">
        <v>1165</v>
      </c>
      <c r="J121" s="575">
        <v>1755</v>
      </c>
      <c r="K121" s="577">
        <v>358</v>
      </c>
      <c r="L121" s="572">
        <v>4919</v>
      </c>
      <c r="M121" s="575">
        <v>0</v>
      </c>
      <c r="N121" s="575">
        <v>7094</v>
      </c>
      <c r="O121" s="576">
        <v>5494</v>
      </c>
      <c r="P121" s="576">
        <v>0</v>
      </c>
      <c r="Q121" s="577">
        <v>19302</v>
      </c>
      <c r="R121" s="572">
        <v>0</v>
      </c>
      <c r="S121" s="577">
        <v>0</v>
      </c>
      <c r="T121" s="573">
        <f t="shared" si="9"/>
        <v>0</v>
      </c>
      <c r="U121" s="574">
        <f t="shared" si="10"/>
        <v>0</v>
      </c>
      <c r="V121" s="575"/>
      <c r="W121" s="576"/>
      <c r="X121" s="578"/>
      <c r="Y121" s="577"/>
      <c r="Z121" s="572"/>
      <c r="AA121" s="575"/>
      <c r="AB121" s="575"/>
      <c r="AC121" s="576"/>
      <c r="AD121" s="576"/>
      <c r="AE121" s="579"/>
      <c r="AF121" s="572"/>
      <c r="AG121" s="576"/>
    </row>
    <row r="122" spans="1:33">
      <c r="A122" s="386" t="s">
        <v>74</v>
      </c>
      <c r="B122" s="387" t="s">
        <v>349</v>
      </c>
      <c r="C122" s="388"/>
      <c r="D122" s="389">
        <v>138682</v>
      </c>
      <c r="E122" s="390">
        <v>12</v>
      </c>
      <c r="F122" s="571">
        <f t="shared" si="7"/>
        <v>136345.48359999998</v>
      </c>
      <c r="G122" s="555">
        <f t="shared" si="8"/>
        <v>157927.70000000001</v>
      </c>
      <c r="H122" s="380">
        <v>91883.927299999996</v>
      </c>
      <c r="I122" s="381">
        <v>97891</v>
      </c>
      <c r="J122" s="380"/>
      <c r="K122" s="382"/>
      <c r="L122" s="383">
        <v>44461.556299999997</v>
      </c>
      <c r="M122" s="365">
        <v>0</v>
      </c>
      <c r="N122" s="380"/>
      <c r="O122" s="381">
        <v>60036.7</v>
      </c>
      <c r="P122" s="366">
        <v>0</v>
      </c>
      <c r="Q122" s="382"/>
      <c r="R122" s="383"/>
      <c r="S122" s="382"/>
      <c r="T122" s="573">
        <f t="shared" si="9"/>
        <v>0</v>
      </c>
      <c r="U122" s="574">
        <f t="shared" si="10"/>
        <v>0</v>
      </c>
      <c r="V122" s="380"/>
      <c r="W122" s="381"/>
      <c r="X122" s="384"/>
      <c r="Y122" s="382"/>
      <c r="Z122" s="383"/>
      <c r="AA122" s="365"/>
      <c r="AB122" s="380"/>
      <c r="AC122" s="381"/>
      <c r="AD122" s="366"/>
      <c r="AE122" s="385"/>
      <c r="AF122" s="383"/>
      <c r="AG122" s="381"/>
    </row>
    <row r="123" spans="1:33">
      <c r="A123" s="386" t="s">
        <v>74</v>
      </c>
      <c r="B123" s="391" t="s">
        <v>350</v>
      </c>
      <c r="C123" s="392"/>
      <c r="D123" s="393">
        <v>366447</v>
      </c>
      <c r="E123" s="374">
        <v>12</v>
      </c>
      <c r="F123" s="571">
        <f t="shared" si="7"/>
        <v>42471.4568</v>
      </c>
      <c r="G123" s="555">
        <f t="shared" si="8"/>
        <v>37106.6</v>
      </c>
      <c r="H123" s="380">
        <v>36934.513299999999</v>
      </c>
      <c r="I123" s="381">
        <v>31070</v>
      </c>
      <c r="J123" s="380"/>
      <c r="K123" s="382"/>
      <c r="L123" s="383">
        <v>5536.9434999999994</v>
      </c>
      <c r="M123" s="365">
        <v>0</v>
      </c>
      <c r="N123" s="380"/>
      <c r="O123" s="381">
        <v>6036.6</v>
      </c>
      <c r="P123" s="366">
        <v>0</v>
      </c>
      <c r="Q123" s="382"/>
      <c r="R123" s="383"/>
      <c r="S123" s="382"/>
      <c r="T123" s="573">
        <f t="shared" si="9"/>
        <v>0</v>
      </c>
      <c r="U123" s="574">
        <f t="shared" si="10"/>
        <v>0</v>
      </c>
      <c r="V123" s="380"/>
      <c r="W123" s="381"/>
      <c r="X123" s="384"/>
      <c r="Y123" s="382"/>
      <c r="Z123" s="383"/>
      <c r="AA123" s="365"/>
      <c r="AB123" s="380"/>
      <c r="AC123" s="381"/>
      <c r="AD123" s="366"/>
      <c r="AE123" s="385"/>
      <c r="AF123" s="383"/>
      <c r="AG123" s="381"/>
    </row>
    <row r="124" spans="1:33">
      <c r="A124" s="386" t="s">
        <v>74</v>
      </c>
      <c r="B124" s="387" t="s">
        <v>351</v>
      </c>
      <c r="C124" s="388"/>
      <c r="D124" s="389">
        <v>246813</v>
      </c>
      <c r="E124" s="390">
        <v>12</v>
      </c>
      <c r="F124" s="571">
        <f t="shared" si="7"/>
        <v>127314.36539999998</v>
      </c>
      <c r="G124" s="555">
        <f t="shared" si="8"/>
        <v>125489.7</v>
      </c>
      <c r="H124" s="380">
        <v>113995.03279999999</v>
      </c>
      <c r="I124" s="381">
        <v>110302.5</v>
      </c>
      <c r="J124" s="380"/>
      <c r="K124" s="382"/>
      <c r="L124" s="383">
        <v>11915.929099999999</v>
      </c>
      <c r="M124" s="365">
        <v>1403.4034999999999</v>
      </c>
      <c r="N124" s="380"/>
      <c r="O124" s="381">
        <v>14240.8</v>
      </c>
      <c r="P124" s="366">
        <v>946.4</v>
      </c>
      <c r="Q124" s="382"/>
      <c r="R124" s="383"/>
      <c r="S124" s="382"/>
      <c r="T124" s="573">
        <f t="shared" si="9"/>
        <v>0</v>
      </c>
      <c r="U124" s="574">
        <f t="shared" si="10"/>
        <v>0</v>
      </c>
      <c r="V124" s="380"/>
      <c r="W124" s="381"/>
      <c r="X124" s="384"/>
      <c r="Y124" s="382"/>
      <c r="Z124" s="383"/>
      <c r="AA124" s="365"/>
      <c r="AB124" s="380"/>
      <c r="AC124" s="381"/>
      <c r="AD124" s="366"/>
      <c r="AE124" s="385"/>
      <c r="AF124" s="383"/>
      <c r="AG124" s="381"/>
    </row>
    <row r="125" spans="1:33">
      <c r="A125" s="386" t="s">
        <v>74</v>
      </c>
      <c r="B125" s="387" t="s">
        <v>352</v>
      </c>
      <c r="C125" s="388"/>
      <c r="D125" s="389">
        <v>138840</v>
      </c>
      <c r="E125" s="390">
        <v>12</v>
      </c>
      <c r="F125" s="571">
        <f t="shared" si="7"/>
        <v>146154.64069999999</v>
      </c>
      <c r="G125" s="555">
        <f t="shared" si="8"/>
        <v>139261.6</v>
      </c>
      <c r="H125" s="380">
        <v>128519.75899999999</v>
      </c>
      <c r="I125" s="381">
        <v>118905.2</v>
      </c>
      <c r="J125" s="380"/>
      <c r="K125" s="382"/>
      <c r="L125" s="383">
        <v>17634.881699999998</v>
      </c>
      <c r="M125" s="365">
        <v>0</v>
      </c>
      <c r="N125" s="380"/>
      <c r="O125" s="381">
        <v>20356.400000000001</v>
      </c>
      <c r="P125" s="366">
        <v>0</v>
      </c>
      <c r="Q125" s="382"/>
      <c r="R125" s="383"/>
      <c r="S125" s="382"/>
      <c r="T125" s="573">
        <f t="shared" si="9"/>
        <v>0</v>
      </c>
      <c r="U125" s="574">
        <f t="shared" si="10"/>
        <v>0</v>
      </c>
      <c r="V125" s="380"/>
      <c r="W125" s="381"/>
      <c r="X125" s="384"/>
      <c r="Y125" s="382"/>
      <c r="Z125" s="383"/>
      <c r="AA125" s="365"/>
      <c r="AB125" s="380"/>
      <c r="AC125" s="381"/>
      <c r="AD125" s="366"/>
      <c r="AE125" s="385"/>
      <c r="AF125" s="383"/>
      <c r="AG125" s="381"/>
    </row>
    <row r="126" spans="1:33">
      <c r="A126" s="386" t="s">
        <v>74</v>
      </c>
      <c r="B126" s="387" t="s">
        <v>353</v>
      </c>
      <c r="C126" s="388"/>
      <c r="D126" s="389">
        <v>138956</v>
      </c>
      <c r="E126" s="390">
        <v>12</v>
      </c>
      <c r="F126" s="571">
        <f t="shared" si="7"/>
        <v>129363.1345</v>
      </c>
      <c r="G126" s="555">
        <f t="shared" si="8"/>
        <v>119168.20000000001</v>
      </c>
      <c r="H126" s="380">
        <v>112413.6204</v>
      </c>
      <c r="I126" s="381">
        <v>103669.6</v>
      </c>
      <c r="J126" s="380"/>
      <c r="K126" s="382"/>
      <c r="L126" s="383">
        <v>16949.5141</v>
      </c>
      <c r="M126" s="365">
        <v>0</v>
      </c>
      <c r="N126" s="380"/>
      <c r="O126" s="381">
        <v>15498.6</v>
      </c>
      <c r="P126" s="366">
        <v>0</v>
      </c>
      <c r="Q126" s="382"/>
      <c r="R126" s="383"/>
      <c r="S126" s="382"/>
      <c r="T126" s="573">
        <f t="shared" si="9"/>
        <v>0</v>
      </c>
      <c r="U126" s="574">
        <f t="shared" si="10"/>
        <v>0</v>
      </c>
      <c r="V126" s="380"/>
      <c r="W126" s="381"/>
      <c r="X126" s="384"/>
      <c r="Y126" s="382"/>
      <c r="Z126" s="383"/>
      <c r="AA126" s="365"/>
      <c r="AB126" s="380"/>
      <c r="AC126" s="381"/>
      <c r="AD126" s="366"/>
      <c r="AE126" s="385"/>
      <c r="AF126" s="383"/>
      <c r="AG126" s="381"/>
    </row>
    <row r="127" spans="1:33">
      <c r="A127" s="386" t="s">
        <v>74</v>
      </c>
      <c r="B127" s="387" t="s">
        <v>354</v>
      </c>
      <c r="C127" s="388"/>
      <c r="D127" s="389">
        <v>140304</v>
      </c>
      <c r="E127" s="390">
        <v>12</v>
      </c>
      <c r="F127" s="571">
        <f t="shared" si="7"/>
        <v>205400.26949999999</v>
      </c>
      <c r="G127" s="555">
        <f t="shared" si="8"/>
        <v>185092.40000000002</v>
      </c>
      <c r="H127" s="380">
        <v>149695.48439999999</v>
      </c>
      <c r="I127" s="381">
        <v>129573.4</v>
      </c>
      <c r="J127" s="380"/>
      <c r="K127" s="382"/>
      <c r="L127" s="383">
        <v>55090.754399999998</v>
      </c>
      <c r="M127" s="365">
        <v>614.03069999999991</v>
      </c>
      <c r="N127" s="380"/>
      <c r="O127" s="381">
        <v>54868.3</v>
      </c>
      <c r="P127" s="366">
        <v>650.70000000000005</v>
      </c>
      <c r="Q127" s="382"/>
      <c r="R127" s="383"/>
      <c r="S127" s="382"/>
      <c r="T127" s="573">
        <f t="shared" si="9"/>
        <v>0</v>
      </c>
      <c r="U127" s="574">
        <f t="shared" si="10"/>
        <v>0</v>
      </c>
      <c r="V127" s="380"/>
      <c r="W127" s="381"/>
      <c r="X127" s="384"/>
      <c r="Y127" s="382"/>
      <c r="Z127" s="383"/>
      <c r="AA127" s="365"/>
      <c r="AB127" s="380"/>
      <c r="AC127" s="381"/>
      <c r="AD127" s="366"/>
      <c r="AE127" s="385"/>
      <c r="AF127" s="383"/>
      <c r="AG127" s="381"/>
    </row>
    <row r="128" spans="1:33">
      <c r="A128" s="386" t="s">
        <v>74</v>
      </c>
      <c r="B128" s="394" t="s">
        <v>355</v>
      </c>
      <c r="C128" s="395"/>
      <c r="D128" s="389">
        <v>140331</v>
      </c>
      <c r="E128" s="390">
        <v>12</v>
      </c>
      <c r="F128" s="571">
        <f t="shared" si="7"/>
        <v>319217.96009999997</v>
      </c>
      <c r="G128" s="555">
        <f t="shared" si="8"/>
        <v>308698.5</v>
      </c>
      <c r="H128" s="380">
        <v>263362.50079999998</v>
      </c>
      <c r="I128" s="381">
        <v>244988.5</v>
      </c>
      <c r="J128" s="380"/>
      <c r="K128" s="382"/>
      <c r="L128" s="383">
        <v>55855.459299999995</v>
      </c>
      <c r="M128" s="365">
        <v>0</v>
      </c>
      <c r="N128" s="380"/>
      <c r="O128" s="381">
        <v>63710</v>
      </c>
      <c r="P128" s="366">
        <v>0</v>
      </c>
      <c r="Q128" s="382"/>
      <c r="R128" s="383"/>
      <c r="S128" s="382"/>
      <c r="T128" s="573">
        <f t="shared" si="9"/>
        <v>0</v>
      </c>
      <c r="U128" s="574">
        <f t="shared" si="10"/>
        <v>0</v>
      </c>
      <c r="V128" s="380"/>
      <c r="W128" s="381"/>
      <c r="X128" s="384"/>
      <c r="Y128" s="382"/>
      <c r="Z128" s="383"/>
      <c r="AA128" s="365"/>
      <c r="AB128" s="380"/>
      <c r="AC128" s="381"/>
      <c r="AD128" s="366"/>
      <c r="AE128" s="385"/>
      <c r="AF128" s="383"/>
      <c r="AG128" s="381"/>
    </row>
    <row r="129" spans="1:33">
      <c r="A129" s="386" t="s">
        <v>74</v>
      </c>
      <c r="B129" s="387" t="s">
        <v>356</v>
      </c>
      <c r="C129" s="388"/>
      <c r="D129" s="389">
        <v>139357</v>
      </c>
      <c r="E129" s="390">
        <v>12</v>
      </c>
      <c r="F129" s="571">
        <f t="shared" si="7"/>
        <v>102573.1284</v>
      </c>
      <c r="G129" s="555">
        <f t="shared" si="8"/>
        <v>95272.099999999991</v>
      </c>
      <c r="H129" s="380">
        <v>87909.061900000001</v>
      </c>
      <c r="I129" s="381">
        <v>79356.2</v>
      </c>
      <c r="J129" s="380"/>
      <c r="K129" s="382"/>
      <c r="L129" s="383">
        <v>14664.066499999999</v>
      </c>
      <c r="M129" s="365">
        <v>0</v>
      </c>
      <c r="N129" s="380"/>
      <c r="O129" s="381">
        <v>15915.9</v>
      </c>
      <c r="P129" s="366">
        <v>0</v>
      </c>
      <c r="Q129" s="382"/>
      <c r="R129" s="383"/>
      <c r="S129" s="382"/>
      <c r="T129" s="573">
        <f t="shared" si="9"/>
        <v>0</v>
      </c>
      <c r="U129" s="574">
        <f t="shared" si="10"/>
        <v>0</v>
      </c>
      <c r="V129" s="380"/>
      <c r="W129" s="381"/>
      <c r="X129" s="384"/>
      <c r="Y129" s="382"/>
      <c r="Z129" s="383"/>
      <c r="AA129" s="365"/>
      <c r="AB129" s="380"/>
      <c r="AC129" s="381"/>
      <c r="AD129" s="366"/>
      <c r="AE129" s="385"/>
      <c r="AF129" s="383"/>
      <c r="AG129" s="381"/>
    </row>
    <row r="130" spans="1:33">
      <c r="A130" s="386" t="s">
        <v>74</v>
      </c>
      <c r="B130" s="394" t="s">
        <v>357</v>
      </c>
      <c r="C130" s="395"/>
      <c r="D130" s="389">
        <v>139384</v>
      </c>
      <c r="E130" s="390">
        <v>12</v>
      </c>
      <c r="F130" s="571">
        <f t="shared" si="7"/>
        <v>175068.75299999997</v>
      </c>
      <c r="G130" s="555">
        <f t="shared" si="8"/>
        <v>174431.8</v>
      </c>
      <c r="H130" s="380">
        <v>130023.1675</v>
      </c>
      <c r="I130" s="381">
        <v>128342.2</v>
      </c>
      <c r="J130" s="380"/>
      <c r="K130" s="382"/>
      <c r="L130" s="383">
        <v>44584.895799999998</v>
      </c>
      <c r="M130" s="365">
        <v>460.68969999999996</v>
      </c>
      <c r="N130" s="380"/>
      <c r="O130" s="381">
        <v>46089.599999999999</v>
      </c>
      <c r="P130" s="366">
        <v>0</v>
      </c>
      <c r="Q130" s="382"/>
      <c r="R130" s="383"/>
      <c r="S130" s="382"/>
      <c r="T130" s="573">
        <f t="shared" si="9"/>
        <v>0</v>
      </c>
      <c r="U130" s="574">
        <f t="shared" si="10"/>
        <v>0</v>
      </c>
      <c r="V130" s="380"/>
      <c r="W130" s="381"/>
      <c r="X130" s="384"/>
      <c r="Y130" s="382"/>
      <c r="Z130" s="383"/>
      <c r="AA130" s="365"/>
      <c r="AB130" s="380"/>
      <c r="AC130" s="381"/>
      <c r="AD130" s="366"/>
      <c r="AE130" s="385"/>
      <c r="AF130" s="383"/>
      <c r="AG130" s="381"/>
    </row>
    <row r="131" spans="1:33">
      <c r="A131" s="386" t="s">
        <v>74</v>
      </c>
      <c r="B131" s="396" t="s">
        <v>358</v>
      </c>
      <c r="C131" s="397" t="s">
        <v>359</v>
      </c>
      <c r="D131" s="389">
        <v>244446</v>
      </c>
      <c r="E131" s="390">
        <v>12</v>
      </c>
      <c r="F131" s="571">
        <f t="shared" si="7"/>
        <v>133425.3376</v>
      </c>
      <c r="G131" s="555">
        <f t="shared" si="8"/>
        <v>119339.8</v>
      </c>
      <c r="H131" s="380">
        <v>97686.217399999994</v>
      </c>
      <c r="I131" s="381">
        <v>83241.5</v>
      </c>
      <c r="J131" s="380"/>
      <c r="K131" s="382"/>
      <c r="L131" s="383">
        <v>35739.120199999998</v>
      </c>
      <c r="M131" s="365">
        <v>0</v>
      </c>
      <c r="N131" s="380"/>
      <c r="O131" s="381">
        <v>36098.300000000003</v>
      </c>
      <c r="P131" s="366">
        <v>0</v>
      </c>
      <c r="Q131" s="382"/>
      <c r="R131" s="383"/>
      <c r="S131" s="382"/>
      <c r="T131" s="573">
        <f t="shared" si="9"/>
        <v>0</v>
      </c>
      <c r="U131" s="574">
        <f t="shared" si="10"/>
        <v>0</v>
      </c>
      <c r="V131" s="380"/>
      <c r="W131" s="381"/>
      <c r="X131" s="384"/>
      <c r="Y131" s="382"/>
      <c r="Z131" s="383"/>
      <c r="AA131" s="365"/>
      <c r="AB131" s="380"/>
      <c r="AC131" s="381"/>
      <c r="AD131" s="366"/>
      <c r="AE131" s="385"/>
      <c r="AF131" s="383"/>
      <c r="AG131" s="381"/>
    </row>
    <row r="132" spans="1:33">
      <c r="A132" s="386" t="s">
        <v>74</v>
      </c>
      <c r="B132" s="387" t="s">
        <v>360</v>
      </c>
      <c r="C132" s="388"/>
      <c r="D132" s="389">
        <v>140012</v>
      </c>
      <c r="E132" s="390">
        <v>12</v>
      </c>
      <c r="F132" s="571">
        <f t="shared" si="7"/>
        <v>178875.61</v>
      </c>
      <c r="G132" s="555">
        <f t="shared" si="8"/>
        <v>173572.7</v>
      </c>
      <c r="H132" s="380">
        <v>136053.46899999998</v>
      </c>
      <c r="I132" s="381">
        <v>130399.6</v>
      </c>
      <c r="J132" s="380"/>
      <c r="K132" s="382"/>
      <c r="L132" s="383">
        <v>42822.140999999996</v>
      </c>
      <c r="M132" s="365">
        <v>0</v>
      </c>
      <c r="N132" s="380"/>
      <c r="O132" s="381">
        <v>43173.1</v>
      </c>
      <c r="P132" s="366">
        <v>0</v>
      </c>
      <c r="Q132" s="382"/>
      <c r="R132" s="383"/>
      <c r="S132" s="382"/>
      <c r="T132" s="573">
        <f t="shared" si="9"/>
        <v>0</v>
      </c>
      <c r="U132" s="574">
        <f t="shared" si="10"/>
        <v>0</v>
      </c>
      <c r="V132" s="380"/>
      <c r="W132" s="381"/>
      <c r="X132" s="384"/>
      <c r="Y132" s="382"/>
      <c r="Z132" s="383"/>
      <c r="AA132" s="365"/>
      <c r="AB132" s="380"/>
      <c r="AC132" s="381"/>
      <c r="AD132" s="366"/>
      <c r="AE132" s="385"/>
      <c r="AF132" s="383"/>
      <c r="AG132" s="381"/>
    </row>
    <row r="133" spans="1:33">
      <c r="A133" s="386" t="s">
        <v>74</v>
      </c>
      <c r="B133" s="387" t="s">
        <v>361</v>
      </c>
      <c r="C133" s="388"/>
      <c r="D133" s="389">
        <v>140243</v>
      </c>
      <c r="E133" s="390">
        <v>12</v>
      </c>
      <c r="F133" s="571">
        <f t="shared" si="7"/>
        <v>109650.8156</v>
      </c>
      <c r="G133" s="555">
        <f t="shared" si="8"/>
        <v>92952.5</v>
      </c>
      <c r="H133" s="380">
        <v>74143.706999999995</v>
      </c>
      <c r="I133" s="381">
        <v>61222</v>
      </c>
      <c r="J133" s="380"/>
      <c r="K133" s="382"/>
      <c r="L133" s="383">
        <v>35507.1086</v>
      </c>
      <c r="M133" s="365">
        <v>0</v>
      </c>
      <c r="N133" s="380"/>
      <c r="O133" s="381">
        <v>31730.5</v>
      </c>
      <c r="P133" s="366">
        <v>0</v>
      </c>
      <c r="Q133" s="382"/>
      <c r="R133" s="383"/>
      <c r="S133" s="382"/>
      <c r="T133" s="573">
        <f t="shared" si="9"/>
        <v>0</v>
      </c>
      <c r="U133" s="574">
        <f t="shared" si="10"/>
        <v>0</v>
      </c>
      <c r="V133" s="380"/>
      <c r="W133" s="381"/>
      <c r="X133" s="384"/>
      <c r="Y133" s="382"/>
      <c r="Z133" s="383"/>
      <c r="AA133" s="365"/>
      <c r="AB133" s="380"/>
      <c r="AC133" s="381"/>
      <c r="AD133" s="366"/>
      <c r="AE133" s="385"/>
      <c r="AF133" s="383"/>
      <c r="AG133" s="381"/>
    </row>
    <row r="134" spans="1:33">
      <c r="A134" s="386" t="s">
        <v>74</v>
      </c>
      <c r="B134" s="387" t="s">
        <v>362</v>
      </c>
      <c r="C134" s="388"/>
      <c r="D134" s="389">
        <v>140085</v>
      </c>
      <c r="E134" s="390">
        <v>12</v>
      </c>
      <c r="F134" s="571">
        <f t="shared" si="7"/>
        <v>117809.22349999999</v>
      </c>
      <c r="G134" s="555">
        <f t="shared" si="8"/>
        <v>110618</v>
      </c>
      <c r="H134" s="380">
        <v>93651.348999999987</v>
      </c>
      <c r="I134" s="381">
        <v>85972.5</v>
      </c>
      <c r="J134" s="380"/>
      <c r="K134" s="382"/>
      <c r="L134" s="383">
        <v>24157.874499999998</v>
      </c>
      <c r="M134" s="365">
        <v>0</v>
      </c>
      <c r="N134" s="380"/>
      <c r="O134" s="381">
        <v>24645.5</v>
      </c>
      <c r="P134" s="366">
        <v>0</v>
      </c>
      <c r="Q134" s="382"/>
      <c r="R134" s="383"/>
      <c r="S134" s="382"/>
      <c r="T134" s="573">
        <f t="shared" si="9"/>
        <v>0</v>
      </c>
      <c r="U134" s="574">
        <f t="shared" si="10"/>
        <v>0</v>
      </c>
      <c r="V134" s="380"/>
      <c r="W134" s="381"/>
      <c r="X134" s="384"/>
      <c r="Y134" s="382"/>
      <c r="Z134" s="383"/>
      <c r="AA134" s="365"/>
      <c r="AB134" s="380"/>
      <c r="AC134" s="381"/>
      <c r="AD134" s="366"/>
      <c r="AE134" s="385"/>
      <c r="AF134" s="383"/>
      <c r="AG134" s="381"/>
    </row>
    <row r="135" spans="1:33">
      <c r="A135" s="386" t="s">
        <v>74</v>
      </c>
      <c r="B135" s="387" t="s">
        <v>363</v>
      </c>
      <c r="C135" s="388"/>
      <c r="D135" s="389">
        <v>140599</v>
      </c>
      <c r="E135" s="390">
        <v>12</v>
      </c>
      <c r="F135" s="571">
        <f t="shared" ref="F135:F199" si="11">SUM(H135,J135,L135,M135,N135,R135)</f>
        <v>70692.867799999993</v>
      </c>
      <c r="G135" s="555">
        <f t="shared" ref="G135:G199" si="12">SUM(I135,K135,O135,P135,Q135,S135)</f>
        <v>64625.799999999996</v>
      </c>
      <c r="H135" s="380">
        <v>59099.621499999994</v>
      </c>
      <c r="I135" s="381">
        <v>51189.7</v>
      </c>
      <c r="J135" s="380"/>
      <c r="K135" s="382"/>
      <c r="L135" s="383">
        <v>11593.246299999999</v>
      </c>
      <c r="M135" s="365">
        <v>0</v>
      </c>
      <c r="N135" s="380"/>
      <c r="O135" s="381">
        <v>13436.1</v>
      </c>
      <c r="P135" s="366">
        <v>0</v>
      </c>
      <c r="Q135" s="382"/>
      <c r="R135" s="383"/>
      <c r="S135" s="382"/>
      <c r="T135" s="573">
        <f t="shared" ref="T135:T199" si="13">SUM(V135,X135,Z135,AA135,AB135,AF135)</f>
        <v>0</v>
      </c>
      <c r="U135" s="574">
        <f t="shared" ref="U135:U199" si="14">SUM(W135,Y135,AC135,AD135,AE135,AG135)</f>
        <v>0</v>
      </c>
      <c r="V135" s="380"/>
      <c r="W135" s="381"/>
      <c r="X135" s="384"/>
      <c r="Y135" s="382"/>
      <c r="Z135" s="383"/>
      <c r="AA135" s="365"/>
      <c r="AB135" s="380"/>
      <c r="AC135" s="381"/>
      <c r="AD135" s="366"/>
      <c r="AE135" s="385"/>
      <c r="AF135" s="383"/>
      <c r="AG135" s="381"/>
    </row>
    <row r="136" spans="1:33">
      <c r="A136" s="386" t="s">
        <v>74</v>
      </c>
      <c r="B136" s="387" t="s">
        <v>364</v>
      </c>
      <c r="C136" s="388"/>
      <c r="D136" s="389">
        <v>140678</v>
      </c>
      <c r="E136" s="390">
        <v>12</v>
      </c>
      <c r="F136" s="571">
        <f t="shared" si="11"/>
        <v>84423.554300000003</v>
      </c>
      <c r="G136" s="555">
        <f t="shared" si="12"/>
        <v>72260.299999999988</v>
      </c>
      <c r="H136" s="380">
        <v>67452.705799999996</v>
      </c>
      <c r="I136" s="381">
        <v>55573.4</v>
      </c>
      <c r="J136" s="380"/>
      <c r="K136" s="382"/>
      <c r="L136" s="383">
        <v>14180.708999999999</v>
      </c>
      <c r="M136" s="365">
        <v>2790.1394999999998</v>
      </c>
      <c r="N136" s="380"/>
      <c r="O136" s="381">
        <v>13700.5</v>
      </c>
      <c r="P136" s="366">
        <v>2986.4</v>
      </c>
      <c r="Q136" s="382"/>
      <c r="R136" s="383"/>
      <c r="S136" s="382"/>
      <c r="T136" s="573">
        <f t="shared" si="13"/>
        <v>0</v>
      </c>
      <c r="U136" s="574">
        <f t="shared" si="14"/>
        <v>0</v>
      </c>
      <c r="V136" s="380"/>
      <c r="W136" s="381"/>
      <c r="X136" s="384"/>
      <c r="Y136" s="382"/>
      <c r="Z136" s="383"/>
      <c r="AA136" s="365"/>
      <c r="AB136" s="380"/>
      <c r="AC136" s="381"/>
      <c r="AD136" s="366"/>
      <c r="AE136" s="385"/>
      <c r="AF136" s="383"/>
      <c r="AG136" s="381"/>
    </row>
    <row r="137" spans="1:33">
      <c r="A137" s="386" t="s">
        <v>74</v>
      </c>
      <c r="B137" s="387" t="s">
        <v>365</v>
      </c>
      <c r="C137" s="388"/>
      <c r="D137" s="389">
        <v>366465</v>
      </c>
      <c r="E137" s="390">
        <v>12</v>
      </c>
      <c r="F137" s="571">
        <f t="shared" si="11"/>
        <v>73528.342899999989</v>
      </c>
      <c r="G137" s="555">
        <f t="shared" si="12"/>
        <v>71441.200000000012</v>
      </c>
      <c r="H137" s="380">
        <v>54188.042599999993</v>
      </c>
      <c r="I137" s="381">
        <v>52442.8</v>
      </c>
      <c r="J137" s="380"/>
      <c r="K137" s="382"/>
      <c r="L137" s="383">
        <v>19340.300299999999</v>
      </c>
      <c r="M137" s="365">
        <v>0</v>
      </c>
      <c r="N137" s="380"/>
      <c r="O137" s="381">
        <v>18998.400000000001</v>
      </c>
      <c r="P137" s="366">
        <v>0</v>
      </c>
      <c r="Q137" s="382"/>
      <c r="R137" s="383"/>
      <c r="S137" s="382"/>
      <c r="T137" s="573">
        <f t="shared" si="13"/>
        <v>0</v>
      </c>
      <c r="U137" s="574">
        <f t="shared" si="14"/>
        <v>0</v>
      </c>
      <c r="V137" s="380"/>
      <c r="W137" s="381"/>
      <c r="X137" s="384"/>
      <c r="Y137" s="382"/>
      <c r="Z137" s="383"/>
      <c r="AA137" s="365"/>
      <c r="AB137" s="380"/>
      <c r="AC137" s="381"/>
      <c r="AD137" s="366"/>
      <c r="AE137" s="385"/>
      <c r="AF137" s="383"/>
      <c r="AG137" s="381"/>
    </row>
    <row r="138" spans="1:33">
      <c r="A138" s="386" t="s">
        <v>74</v>
      </c>
      <c r="B138" s="387" t="s">
        <v>366</v>
      </c>
      <c r="C138" s="388"/>
      <c r="D138" s="389">
        <v>248776</v>
      </c>
      <c r="E138" s="390">
        <v>12</v>
      </c>
      <c r="F138" s="571">
        <f t="shared" si="11"/>
        <v>42325.782849999996</v>
      </c>
      <c r="G138" s="555">
        <f t="shared" si="12"/>
        <v>35327.800000000003</v>
      </c>
      <c r="H138" s="380">
        <v>38127.572949999994</v>
      </c>
      <c r="I138" s="381">
        <v>31224.3</v>
      </c>
      <c r="J138" s="380"/>
      <c r="K138" s="382"/>
      <c r="L138" s="383">
        <v>4198.2098999999998</v>
      </c>
      <c r="M138" s="365">
        <v>0</v>
      </c>
      <c r="N138" s="380"/>
      <c r="O138" s="381">
        <v>4103.5</v>
      </c>
      <c r="P138" s="366">
        <v>0</v>
      </c>
      <c r="Q138" s="382"/>
      <c r="R138" s="383"/>
      <c r="S138" s="382"/>
      <c r="T138" s="573">
        <f t="shared" si="13"/>
        <v>0</v>
      </c>
      <c r="U138" s="574">
        <f t="shared" si="14"/>
        <v>0</v>
      </c>
      <c r="V138" s="380"/>
      <c r="W138" s="381"/>
      <c r="X138" s="384"/>
      <c r="Y138" s="382"/>
      <c r="Z138" s="383"/>
      <c r="AA138" s="365"/>
      <c r="AB138" s="380"/>
      <c r="AC138" s="381"/>
      <c r="AD138" s="366"/>
      <c r="AE138" s="385"/>
      <c r="AF138" s="383"/>
      <c r="AG138" s="381"/>
    </row>
    <row r="139" spans="1:33">
      <c r="A139" s="386" t="s">
        <v>74</v>
      </c>
      <c r="B139" s="387" t="s">
        <v>367</v>
      </c>
      <c r="C139" s="388"/>
      <c r="D139" s="389">
        <v>140942</v>
      </c>
      <c r="E139" s="390">
        <v>12</v>
      </c>
      <c r="F139" s="571">
        <f t="shared" si="11"/>
        <v>146168.64139999999</v>
      </c>
      <c r="G139" s="555">
        <f t="shared" si="12"/>
        <v>135656.69999999998</v>
      </c>
      <c r="H139" s="380">
        <v>116991.1826</v>
      </c>
      <c r="I139" s="381">
        <v>104294.9</v>
      </c>
      <c r="J139" s="380"/>
      <c r="K139" s="382"/>
      <c r="L139" s="383">
        <v>29177.458799999997</v>
      </c>
      <c r="M139" s="365">
        <v>0</v>
      </c>
      <c r="N139" s="380"/>
      <c r="O139" s="381">
        <v>31361.8</v>
      </c>
      <c r="P139" s="366">
        <v>0</v>
      </c>
      <c r="Q139" s="382"/>
      <c r="R139" s="383"/>
      <c r="S139" s="382"/>
      <c r="T139" s="573">
        <f t="shared" si="13"/>
        <v>0</v>
      </c>
      <c r="U139" s="574">
        <f t="shared" si="14"/>
        <v>0</v>
      </c>
      <c r="V139" s="380"/>
      <c r="W139" s="381"/>
      <c r="X139" s="384"/>
      <c r="Y139" s="382"/>
      <c r="Z139" s="383"/>
      <c r="AA139" s="365"/>
      <c r="AB139" s="380"/>
      <c r="AC139" s="381"/>
      <c r="AD139" s="366"/>
      <c r="AE139" s="385"/>
      <c r="AF139" s="383"/>
      <c r="AG139" s="381"/>
    </row>
    <row r="140" spans="1:33">
      <c r="A140" s="386" t="s">
        <v>74</v>
      </c>
      <c r="B140" s="387" t="s">
        <v>368</v>
      </c>
      <c r="C140" s="388"/>
      <c r="D140" s="389">
        <v>141006</v>
      </c>
      <c r="E140" s="390">
        <v>12</v>
      </c>
      <c r="F140" s="571">
        <f t="shared" si="11"/>
        <v>81004.049999999988</v>
      </c>
      <c r="G140" s="555">
        <f t="shared" si="12"/>
        <v>73009.099999999991</v>
      </c>
      <c r="H140" s="380">
        <v>69031.451399999991</v>
      </c>
      <c r="I140" s="381">
        <v>60842.7</v>
      </c>
      <c r="J140" s="380"/>
      <c r="K140" s="382"/>
      <c r="L140" s="383">
        <v>11972.598599999999</v>
      </c>
      <c r="M140" s="365">
        <v>0</v>
      </c>
      <c r="N140" s="380"/>
      <c r="O140" s="381">
        <v>12166.4</v>
      </c>
      <c r="P140" s="366">
        <v>0</v>
      </c>
      <c r="Q140" s="382"/>
      <c r="R140" s="383"/>
      <c r="S140" s="382"/>
      <c r="T140" s="573">
        <f t="shared" si="13"/>
        <v>0</v>
      </c>
      <c r="U140" s="574">
        <f t="shared" si="14"/>
        <v>0</v>
      </c>
      <c r="V140" s="380"/>
      <c r="W140" s="381"/>
      <c r="X140" s="384"/>
      <c r="Y140" s="382"/>
      <c r="Z140" s="383"/>
      <c r="AA140" s="365"/>
      <c r="AB140" s="380"/>
      <c r="AC140" s="381"/>
      <c r="AD140" s="366"/>
      <c r="AE140" s="385"/>
      <c r="AF140" s="383"/>
      <c r="AG140" s="381"/>
    </row>
    <row r="141" spans="1:33">
      <c r="A141" s="386" t="s">
        <v>74</v>
      </c>
      <c r="B141" s="394" t="s">
        <v>369</v>
      </c>
      <c r="C141" s="395"/>
      <c r="D141" s="389">
        <v>368911</v>
      </c>
      <c r="E141" s="390">
        <v>12</v>
      </c>
      <c r="F141" s="571">
        <f t="shared" si="11"/>
        <v>51828.5913</v>
      </c>
      <c r="G141" s="555">
        <f t="shared" si="12"/>
        <v>45997.2</v>
      </c>
      <c r="H141" s="380">
        <v>41946.763899999998</v>
      </c>
      <c r="I141" s="381">
        <v>36896.199999999997</v>
      </c>
      <c r="J141" s="380"/>
      <c r="K141" s="382"/>
      <c r="L141" s="383">
        <v>9881.8274000000001</v>
      </c>
      <c r="M141" s="365">
        <v>0</v>
      </c>
      <c r="N141" s="380"/>
      <c r="O141" s="381">
        <v>9101</v>
      </c>
      <c r="P141" s="366">
        <v>0</v>
      </c>
      <c r="Q141" s="382"/>
      <c r="R141" s="383"/>
      <c r="S141" s="382"/>
      <c r="T141" s="573">
        <f t="shared" si="13"/>
        <v>0</v>
      </c>
      <c r="U141" s="574">
        <f t="shared" si="14"/>
        <v>0</v>
      </c>
      <c r="V141" s="380"/>
      <c r="W141" s="381"/>
      <c r="X141" s="384"/>
      <c r="Y141" s="382"/>
      <c r="Z141" s="383"/>
      <c r="AA141" s="365"/>
      <c r="AB141" s="380"/>
      <c r="AC141" s="381"/>
      <c r="AD141" s="366"/>
      <c r="AE141" s="385"/>
      <c r="AF141" s="383"/>
      <c r="AG141" s="381"/>
    </row>
    <row r="142" spans="1:33">
      <c r="A142" s="386" t="s">
        <v>74</v>
      </c>
      <c r="B142" s="391" t="s">
        <v>370</v>
      </c>
      <c r="C142" s="392"/>
      <c r="D142" s="398">
        <v>139986</v>
      </c>
      <c r="E142" s="374">
        <v>12</v>
      </c>
      <c r="F142" s="571">
        <f t="shared" si="11"/>
        <v>170829.67439</v>
      </c>
      <c r="G142" s="555">
        <f t="shared" si="12"/>
        <v>144060.79999999999</v>
      </c>
      <c r="H142" s="380">
        <v>134654.53239000001</v>
      </c>
      <c r="I142" s="381">
        <v>111574</v>
      </c>
      <c r="J142" s="380"/>
      <c r="K142" s="382"/>
      <c r="L142" s="383">
        <v>36175.142</v>
      </c>
      <c r="M142" s="365">
        <v>0</v>
      </c>
      <c r="N142" s="380"/>
      <c r="O142" s="381">
        <v>32486.799999999999</v>
      </c>
      <c r="P142" s="366">
        <v>0</v>
      </c>
      <c r="Q142" s="382"/>
      <c r="R142" s="383"/>
      <c r="S142" s="382"/>
      <c r="T142" s="573">
        <f t="shared" si="13"/>
        <v>0</v>
      </c>
      <c r="U142" s="574">
        <f t="shared" si="14"/>
        <v>0</v>
      </c>
      <c r="V142" s="380"/>
      <c r="W142" s="381"/>
      <c r="X142" s="384"/>
      <c r="Y142" s="382"/>
      <c r="Z142" s="383"/>
      <c r="AA142" s="365"/>
      <c r="AB142" s="380"/>
      <c r="AC142" s="381"/>
      <c r="AD142" s="366"/>
      <c r="AE142" s="385"/>
      <c r="AF142" s="383"/>
      <c r="AG142" s="381"/>
    </row>
    <row r="143" spans="1:33">
      <c r="A143" s="386" t="s">
        <v>74</v>
      </c>
      <c r="B143" s="394" t="s">
        <v>371</v>
      </c>
      <c r="C143" s="395"/>
      <c r="D143" s="389">
        <v>141158</v>
      </c>
      <c r="E143" s="390">
        <v>12</v>
      </c>
      <c r="F143" s="571">
        <f t="shared" si="11"/>
        <v>42051.102449999991</v>
      </c>
      <c r="G143" s="555">
        <f t="shared" si="12"/>
        <v>39895.300000000003</v>
      </c>
      <c r="H143" s="380">
        <v>34411.387149999995</v>
      </c>
      <c r="I143" s="381">
        <v>31703.7</v>
      </c>
      <c r="J143" s="380"/>
      <c r="K143" s="382"/>
      <c r="L143" s="383">
        <v>7639.7152999999998</v>
      </c>
      <c r="M143" s="365">
        <v>0</v>
      </c>
      <c r="N143" s="380"/>
      <c r="O143" s="381">
        <v>8191.6</v>
      </c>
      <c r="P143" s="366">
        <v>0</v>
      </c>
      <c r="Q143" s="382"/>
      <c r="R143" s="383"/>
      <c r="S143" s="382"/>
      <c r="T143" s="573">
        <f t="shared" si="13"/>
        <v>0</v>
      </c>
      <c r="U143" s="574">
        <f t="shared" si="14"/>
        <v>0</v>
      </c>
      <c r="V143" s="380"/>
      <c r="W143" s="381"/>
      <c r="X143" s="384"/>
      <c r="Y143" s="382"/>
      <c r="Z143" s="383"/>
      <c r="AA143" s="365"/>
      <c r="AB143" s="380"/>
      <c r="AC143" s="381"/>
      <c r="AD143" s="366"/>
      <c r="AE143" s="385"/>
      <c r="AF143" s="383"/>
      <c r="AG143" s="381"/>
    </row>
    <row r="144" spans="1:33">
      <c r="A144" s="386" t="s">
        <v>74</v>
      </c>
      <c r="B144" s="394" t="s">
        <v>372</v>
      </c>
      <c r="C144" s="395"/>
      <c r="D144" s="389">
        <v>139278</v>
      </c>
      <c r="E144" s="390">
        <v>12</v>
      </c>
      <c r="F144" s="571">
        <f t="shared" si="11"/>
        <v>184845.24179999999</v>
      </c>
      <c r="G144" s="555">
        <f t="shared" si="12"/>
        <v>181609.9</v>
      </c>
      <c r="H144" s="380">
        <v>153893.0276</v>
      </c>
      <c r="I144" s="381">
        <v>149538.5</v>
      </c>
      <c r="J144" s="380"/>
      <c r="K144" s="382"/>
      <c r="L144" s="383">
        <v>30952.214199999999</v>
      </c>
      <c r="M144" s="365">
        <v>0</v>
      </c>
      <c r="N144" s="380"/>
      <c r="O144" s="381">
        <v>32071.4</v>
      </c>
      <c r="P144" s="366">
        <v>0</v>
      </c>
      <c r="Q144" s="382"/>
      <c r="R144" s="383"/>
      <c r="S144" s="382"/>
      <c r="T144" s="573">
        <f t="shared" si="13"/>
        <v>0</v>
      </c>
      <c r="U144" s="574">
        <f t="shared" si="14"/>
        <v>0</v>
      </c>
      <c r="V144" s="380"/>
      <c r="W144" s="381"/>
      <c r="X144" s="384"/>
      <c r="Y144" s="382"/>
      <c r="Z144" s="383"/>
      <c r="AA144" s="365"/>
      <c r="AB144" s="380"/>
      <c r="AC144" s="381"/>
      <c r="AD144" s="366"/>
      <c r="AE144" s="385"/>
      <c r="AF144" s="383"/>
      <c r="AG144" s="381"/>
    </row>
    <row r="145" spans="1:33">
      <c r="A145" s="386" t="s">
        <v>74</v>
      </c>
      <c r="B145" s="391" t="s">
        <v>373</v>
      </c>
      <c r="C145" s="392"/>
      <c r="D145" s="398">
        <v>141255</v>
      </c>
      <c r="E145" s="374">
        <v>12</v>
      </c>
      <c r="F145" s="571">
        <f t="shared" si="11"/>
        <v>149922.82909999997</v>
      </c>
      <c r="G145" s="555">
        <f t="shared" si="12"/>
        <v>137751.6</v>
      </c>
      <c r="H145" s="380">
        <v>126133.63969999999</v>
      </c>
      <c r="I145" s="381">
        <v>108685.3</v>
      </c>
      <c r="J145" s="380"/>
      <c r="K145" s="382"/>
      <c r="L145" s="383">
        <v>23789.189399999999</v>
      </c>
      <c r="M145" s="365">
        <v>0</v>
      </c>
      <c r="N145" s="380"/>
      <c r="O145" s="381">
        <v>29066.3</v>
      </c>
      <c r="P145" s="366">
        <v>0</v>
      </c>
      <c r="Q145" s="382"/>
      <c r="R145" s="383"/>
      <c r="S145" s="382"/>
      <c r="T145" s="573">
        <f t="shared" si="13"/>
        <v>0</v>
      </c>
      <c r="U145" s="574">
        <f t="shared" si="14"/>
        <v>0</v>
      </c>
      <c r="V145" s="380"/>
      <c r="W145" s="381"/>
      <c r="X145" s="384"/>
      <c r="Y145" s="382"/>
      <c r="Z145" s="383"/>
      <c r="AA145" s="365"/>
      <c r="AB145" s="380"/>
      <c r="AC145" s="381"/>
      <c r="AD145" s="366"/>
      <c r="AE145" s="385"/>
      <c r="AF145" s="383"/>
      <c r="AG145" s="381"/>
    </row>
    <row r="146" spans="1:33">
      <c r="A146" s="386" t="s">
        <v>74</v>
      </c>
      <c r="B146" s="399" t="s">
        <v>374</v>
      </c>
      <c r="C146" s="397" t="s">
        <v>375</v>
      </c>
      <c r="D146" s="400">
        <v>420431</v>
      </c>
      <c r="E146" s="374">
        <v>12</v>
      </c>
      <c r="F146" s="571">
        <f t="shared" si="11"/>
        <v>70259.512799999997</v>
      </c>
      <c r="G146" s="555">
        <f t="shared" si="12"/>
        <v>59677.2</v>
      </c>
      <c r="H146" s="380">
        <v>61782.422299999998</v>
      </c>
      <c r="I146" s="381">
        <v>50085.2</v>
      </c>
      <c r="J146" s="380"/>
      <c r="K146" s="382"/>
      <c r="L146" s="383">
        <v>7553.7109999999993</v>
      </c>
      <c r="M146" s="365">
        <v>923.37949999999989</v>
      </c>
      <c r="N146" s="380">
        <v>0</v>
      </c>
      <c r="O146" s="381">
        <v>9147.2999999999993</v>
      </c>
      <c r="P146" s="366">
        <v>444.7</v>
      </c>
      <c r="Q146" s="382">
        <v>0</v>
      </c>
      <c r="R146" s="383">
        <v>0</v>
      </c>
      <c r="S146" s="382">
        <v>0</v>
      </c>
      <c r="T146" s="573">
        <f t="shared" si="13"/>
        <v>0</v>
      </c>
      <c r="U146" s="574">
        <f t="shared" si="14"/>
        <v>0</v>
      </c>
      <c r="V146" s="380">
        <v>0</v>
      </c>
      <c r="W146" s="381">
        <v>0</v>
      </c>
      <c r="X146" s="384">
        <v>0</v>
      </c>
      <c r="Y146" s="382">
        <v>0</v>
      </c>
      <c r="Z146" s="383">
        <v>0</v>
      </c>
      <c r="AA146" s="365">
        <v>0</v>
      </c>
      <c r="AB146" s="380">
        <v>0</v>
      </c>
      <c r="AC146" s="381">
        <v>0</v>
      </c>
      <c r="AD146" s="366">
        <v>0</v>
      </c>
      <c r="AE146" s="385">
        <v>0</v>
      </c>
      <c r="AF146" s="383">
        <v>0</v>
      </c>
      <c r="AG146" s="381">
        <v>0</v>
      </c>
    </row>
    <row r="147" spans="1:33">
      <c r="A147" s="486" t="s">
        <v>75</v>
      </c>
      <c r="B147" s="487" t="s">
        <v>686</v>
      </c>
      <c r="C147" s="488"/>
      <c r="D147" s="486">
        <v>157085</v>
      </c>
      <c r="E147" s="313">
        <v>1</v>
      </c>
      <c r="F147" s="571">
        <f t="shared" si="11"/>
        <v>539913</v>
      </c>
      <c r="G147" s="555">
        <f t="shared" si="12"/>
        <v>555786</v>
      </c>
      <c r="H147" s="365">
        <v>521382</v>
      </c>
      <c r="I147" s="366">
        <v>530749</v>
      </c>
      <c r="J147" s="365">
        <v>2828</v>
      </c>
      <c r="K147" s="367">
        <v>2209</v>
      </c>
      <c r="L147" s="360">
        <v>13218</v>
      </c>
      <c r="M147" s="365">
        <v>1309</v>
      </c>
      <c r="N147" s="365">
        <v>1176</v>
      </c>
      <c r="O147" s="366">
        <v>20681</v>
      </c>
      <c r="P147" s="366">
        <v>2144</v>
      </c>
      <c r="Q147" s="367">
        <v>3</v>
      </c>
      <c r="R147" s="360"/>
      <c r="S147" s="367"/>
      <c r="T147" s="573">
        <f t="shared" si="13"/>
        <v>80488</v>
      </c>
      <c r="U147" s="574">
        <f t="shared" si="14"/>
        <v>84631</v>
      </c>
      <c r="V147" s="365">
        <v>69004</v>
      </c>
      <c r="W147" s="366">
        <v>71470</v>
      </c>
      <c r="X147" s="368">
        <v>2949</v>
      </c>
      <c r="Y147" s="367">
        <v>1628</v>
      </c>
      <c r="Z147" s="360">
        <v>7841</v>
      </c>
      <c r="AA147" s="365">
        <v>340</v>
      </c>
      <c r="AB147" s="365">
        <v>354</v>
      </c>
      <c r="AC147" s="366">
        <v>10068</v>
      </c>
      <c r="AD147" s="366">
        <v>1459</v>
      </c>
      <c r="AE147" s="369">
        <v>6</v>
      </c>
      <c r="AF147" s="360"/>
      <c r="AG147" s="366"/>
    </row>
    <row r="148" spans="1:33">
      <c r="A148" s="486" t="s">
        <v>75</v>
      </c>
      <c r="B148" s="487" t="s">
        <v>687</v>
      </c>
      <c r="C148" s="488"/>
      <c r="D148" s="486">
        <v>157289</v>
      </c>
      <c r="E148" s="313">
        <v>1</v>
      </c>
      <c r="F148" s="571">
        <f t="shared" si="11"/>
        <v>393895</v>
      </c>
      <c r="G148" s="555">
        <f t="shared" si="12"/>
        <v>397187.5</v>
      </c>
      <c r="H148" s="365">
        <v>360400</v>
      </c>
      <c r="I148" s="366">
        <v>360351</v>
      </c>
      <c r="J148" s="365">
        <v>9053</v>
      </c>
      <c r="K148" s="367">
        <v>10081.5</v>
      </c>
      <c r="L148" s="360">
        <v>24442</v>
      </c>
      <c r="M148" s="365"/>
      <c r="N148" s="365"/>
      <c r="O148" s="366">
        <v>26755</v>
      </c>
      <c r="P148" s="366"/>
      <c r="Q148" s="367"/>
      <c r="R148" s="360"/>
      <c r="S148" s="367"/>
      <c r="T148" s="573">
        <f t="shared" si="13"/>
        <v>78088</v>
      </c>
      <c r="U148" s="574">
        <f t="shared" si="14"/>
        <v>79200</v>
      </c>
      <c r="V148" s="365">
        <v>69917</v>
      </c>
      <c r="W148" s="366">
        <v>70359.5</v>
      </c>
      <c r="X148" s="368">
        <v>4189</v>
      </c>
      <c r="Y148" s="367">
        <v>4384.5</v>
      </c>
      <c r="Z148" s="360">
        <v>3982</v>
      </c>
      <c r="AA148" s="365"/>
      <c r="AB148" s="365"/>
      <c r="AC148" s="366">
        <v>4456</v>
      </c>
      <c r="AD148" s="366"/>
      <c r="AE148" s="369"/>
      <c r="AF148" s="360"/>
      <c r="AG148" s="366"/>
    </row>
    <row r="149" spans="1:33">
      <c r="A149" s="486" t="s">
        <v>75</v>
      </c>
      <c r="B149" s="487" t="s">
        <v>688</v>
      </c>
      <c r="C149" s="488"/>
      <c r="D149" s="486">
        <v>156620</v>
      </c>
      <c r="E149" s="313">
        <v>3</v>
      </c>
      <c r="F149" s="571">
        <f t="shared" si="11"/>
        <v>381237</v>
      </c>
      <c r="G149" s="555">
        <f t="shared" si="12"/>
        <v>366498</v>
      </c>
      <c r="H149" s="365">
        <v>300117</v>
      </c>
      <c r="I149" s="366">
        <v>291063</v>
      </c>
      <c r="J149" s="365">
        <v>28339</v>
      </c>
      <c r="K149" s="367">
        <v>24080</v>
      </c>
      <c r="L149" s="360">
        <v>44099</v>
      </c>
      <c r="M149" s="365">
        <v>8682</v>
      </c>
      <c r="N149" s="365"/>
      <c r="O149" s="366">
        <v>42081</v>
      </c>
      <c r="P149" s="366">
        <v>9274</v>
      </c>
      <c r="Q149" s="367"/>
      <c r="R149" s="360"/>
      <c r="S149" s="367"/>
      <c r="T149" s="573">
        <f t="shared" si="13"/>
        <v>33745</v>
      </c>
      <c r="U149" s="574">
        <f t="shared" si="14"/>
        <v>37637</v>
      </c>
      <c r="V149" s="365">
        <v>18517</v>
      </c>
      <c r="W149" s="366">
        <v>21407</v>
      </c>
      <c r="X149" s="368">
        <v>1363</v>
      </c>
      <c r="Y149" s="367">
        <v>1157</v>
      </c>
      <c r="Z149" s="360">
        <v>12521</v>
      </c>
      <c r="AA149" s="365">
        <v>1344</v>
      </c>
      <c r="AB149" s="365"/>
      <c r="AC149" s="366">
        <v>14044</v>
      </c>
      <c r="AD149" s="366">
        <v>1029</v>
      </c>
      <c r="AE149" s="369"/>
      <c r="AF149" s="360"/>
      <c r="AG149" s="366"/>
    </row>
    <row r="150" spans="1:33">
      <c r="A150" s="486" t="s">
        <v>75</v>
      </c>
      <c r="B150" s="487" t="s">
        <v>689</v>
      </c>
      <c r="C150" s="488"/>
      <c r="D150" s="486">
        <v>157386</v>
      </c>
      <c r="E150" s="313">
        <v>3</v>
      </c>
      <c r="F150" s="571">
        <f t="shared" si="11"/>
        <v>182291</v>
      </c>
      <c r="G150" s="555">
        <f t="shared" si="12"/>
        <v>188450</v>
      </c>
      <c r="H150" s="365">
        <v>129758</v>
      </c>
      <c r="I150" s="366">
        <v>127125</v>
      </c>
      <c r="J150" s="365">
        <v>13378</v>
      </c>
      <c r="K150" s="367">
        <v>18007</v>
      </c>
      <c r="L150" s="360">
        <v>30372</v>
      </c>
      <c r="M150" s="365">
        <v>8783</v>
      </c>
      <c r="N150" s="365"/>
      <c r="O150" s="366">
        <v>33647</v>
      </c>
      <c r="P150" s="366">
        <v>9671</v>
      </c>
      <c r="Q150" s="367"/>
      <c r="R150" s="360"/>
      <c r="S150" s="367"/>
      <c r="T150" s="573">
        <f t="shared" si="13"/>
        <v>19998</v>
      </c>
      <c r="U150" s="574">
        <f t="shared" si="14"/>
        <v>22629</v>
      </c>
      <c r="V150" s="365">
        <v>5255</v>
      </c>
      <c r="W150" s="366">
        <v>5429</v>
      </c>
      <c r="X150" s="368">
        <v>378</v>
      </c>
      <c r="Y150" s="367">
        <v>354</v>
      </c>
      <c r="Z150" s="360">
        <v>13378</v>
      </c>
      <c r="AA150" s="365">
        <v>987</v>
      </c>
      <c r="AB150" s="365"/>
      <c r="AC150" s="366">
        <v>15850</v>
      </c>
      <c r="AD150" s="366">
        <v>996</v>
      </c>
      <c r="AE150" s="369"/>
      <c r="AF150" s="360"/>
      <c r="AG150" s="366"/>
    </row>
    <row r="151" spans="1:33">
      <c r="A151" s="486" t="s">
        <v>75</v>
      </c>
      <c r="B151" s="487" t="s">
        <v>690</v>
      </c>
      <c r="C151" s="488"/>
      <c r="D151" s="486">
        <v>157401</v>
      </c>
      <c r="E151" s="313">
        <v>3</v>
      </c>
      <c r="F151" s="571">
        <f t="shared" si="11"/>
        <v>220191</v>
      </c>
      <c r="G151" s="555">
        <f t="shared" si="12"/>
        <v>222642</v>
      </c>
      <c r="H151" s="365">
        <v>193285</v>
      </c>
      <c r="I151" s="366">
        <v>193484</v>
      </c>
      <c r="J151" s="365">
        <v>8199</v>
      </c>
      <c r="K151" s="367">
        <v>8053</v>
      </c>
      <c r="L151" s="360">
        <v>12583</v>
      </c>
      <c r="M151" s="365">
        <v>6124</v>
      </c>
      <c r="N151" s="365"/>
      <c r="O151" s="366">
        <v>14749</v>
      </c>
      <c r="P151" s="366">
        <v>6356</v>
      </c>
      <c r="Q151" s="367"/>
      <c r="R151" s="360"/>
      <c r="S151" s="367"/>
      <c r="T151" s="573">
        <f t="shared" si="13"/>
        <v>29144</v>
      </c>
      <c r="U151" s="574">
        <f t="shared" si="14"/>
        <v>31159</v>
      </c>
      <c r="V151" s="365">
        <v>16036</v>
      </c>
      <c r="W151" s="366">
        <v>16352</v>
      </c>
      <c r="X151" s="368">
        <v>3778</v>
      </c>
      <c r="Y151" s="367">
        <v>3231</v>
      </c>
      <c r="Z151" s="360">
        <v>7401</v>
      </c>
      <c r="AA151" s="365">
        <v>1929</v>
      </c>
      <c r="AB151" s="365"/>
      <c r="AC151" s="366">
        <v>9433</v>
      </c>
      <c r="AD151" s="366">
        <v>2143</v>
      </c>
      <c r="AE151" s="369"/>
      <c r="AF151" s="360"/>
      <c r="AG151" s="366"/>
    </row>
    <row r="152" spans="1:33">
      <c r="A152" s="486" t="s">
        <v>75</v>
      </c>
      <c r="B152" s="487" t="s">
        <v>691</v>
      </c>
      <c r="C152" s="488"/>
      <c r="D152" s="486">
        <v>157951</v>
      </c>
      <c r="E152" s="313">
        <v>3</v>
      </c>
      <c r="F152" s="571">
        <f t="shared" si="11"/>
        <v>464035</v>
      </c>
      <c r="G152" s="555">
        <f t="shared" si="12"/>
        <v>459602</v>
      </c>
      <c r="H152" s="365">
        <v>351307</v>
      </c>
      <c r="I152" s="366">
        <v>344823.5</v>
      </c>
      <c r="J152" s="365">
        <v>43182</v>
      </c>
      <c r="K152" s="367">
        <v>44604</v>
      </c>
      <c r="L152" s="360">
        <v>58991</v>
      </c>
      <c r="M152" s="365">
        <v>9208</v>
      </c>
      <c r="N152" s="365">
        <v>1347</v>
      </c>
      <c r="O152" s="366">
        <v>59447</v>
      </c>
      <c r="P152" s="366">
        <v>8812.5</v>
      </c>
      <c r="Q152" s="367">
        <v>1915</v>
      </c>
      <c r="R152" s="360"/>
      <c r="S152" s="367"/>
      <c r="T152" s="573">
        <f t="shared" si="13"/>
        <v>44392</v>
      </c>
      <c r="U152" s="574">
        <f t="shared" si="14"/>
        <v>50140.5</v>
      </c>
      <c r="V152" s="365">
        <v>20075</v>
      </c>
      <c r="W152" s="366">
        <v>21614</v>
      </c>
      <c r="X152" s="368">
        <v>2496</v>
      </c>
      <c r="Y152" s="367">
        <v>2352</v>
      </c>
      <c r="Z152" s="360">
        <v>21169</v>
      </c>
      <c r="AA152" s="365">
        <v>636</v>
      </c>
      <c r="AB152" s="365">
        <v>16</v>
      </c>
      <c r="AC152" s="366">
        <v>25442.5</v>
      </c>
      <c r="AD152" s="366">
        <v>693</v>
      </c>
      <c r="AE152" s="369">
        <v>39</v>
      </c>
      <c r="AF152" s="360"/>
      <c r="AG152" s="366"/>
    </row>
    <row r="153" spans="1:33">
      <c r="A153" s="486" t="s">
        <v>75</v>
      </c>
      <c r="B153" s="487" t="s">
        <v>692</v>
      </c>
      <c r="C153" s="488"/>
      <c r="D153" s="486">
        <v>157058</v>
      </c>
      <c r="E153" s="313">
        <v>4</v>
      </c>
      <c r="F153" s="571">
        <f t="shared" si="11"/>
        <v>66536</v>
      </c>
      <c r="G153" s="555">
        <f t="shared" si="12"/>
        <v>63778</v>
      </c>
      <c r="H153" s="365">
        <v>57442</v>
      </c>
      <c r="I153" s="366">
        <v>53254</v>
      </c>
      <c r="J153" s="365"/>
      <c r="K153" s="367">
        <v>98</v>
      </c>
      <c r="L153" s="360">
        <v>9085</v>
      </c>
      <c r="M153" s="365"/>
      <c r="N153" s="365">
        <v>9</v>
      </c>
      <c r="O153" s="366">
        <v>10417</v>
      </c>
      <c r="P153" s="366"/>
      <c r="Q153" s="367">
        <v>9</v>
      </c>
      <c r="R153" s="360"/>
      <c r="S153" s="367"/>
      <c r="T153" s="573">
        <f t="shared" si="13"/>
        <v>3518</v>
      </c>
      <c r="U153" s="574">
        <f t="shared" si="14"/>
        <v>3997</v>
      </c>
      <c r="V153" s="365">
        <v>1808</v>
      </c>
      <c r="W153" s="366">
        <v>2101</v>
      </c>
      <c r="X153" s="368"/>
      <c r="Y153" s="367"/>
      <c r="Z153" s="360">
        <v>1710</v>
      </c>
      <c r="AA153" s="365"/>
      <c r="AB153" s="365"/>
      <c r="AC153" s="366">
        <v>1896</v>
      </c>
      <c r="AD153" s="366"/>
      <c r="AE153" s="369"/>
      <c r="AF153" s="360"/>
      <c r="AG153" s="366"/>
    </row>
    <row r="154" spans="1:33">
      <c r="A154" s="486" t="s">
        <v>75</v>
      </c>
      <c r="B154" s="487" t="s">
        <v>693</v>
      </c>
      <c r="C154" s="488"/>
      <c r="D154" s="486">
        <v>157447</v>
      </c>
      <c r="E154" s="313">
        <v>4</v>
      </c>
      <c r="F154" s="571">
        <f t="shared" si="11"/>
        <v>331893</v>
      </c>
      <c r="G154" s="555">
        <f t="shared" si="12"/>
        <v>334722</v>
      </c>
      <c r="H154" s="365">
        <v>286917</v>
      </c>
      <c r="I154" s="366">
        <v>281387</v>
      </c>
      <c r="J154" s="365">
        <v>13733</v>
      </c>
      <c r="K154" s="367">
        <v>12633</v>
      </c>
      <c r="L154" s="360">
        <v>31243</v>
      </c>
      <c r="M154" s="365"/>
      <c r="N154" s="365"/>
      <c r="O154" s="366">
        <v>40702</v>
      </c>
      <c r="P154" s="366"/>
      <c r="Q154" s="367"/>
      <c r="R154" s="360"/>
      <c r="S154" s="367"/>
      <c r="T154" s="573">
        <f t="shared" si="13"/>
        <v>37581</v>
      </c>
      <c r="U154" s="574">
        <f t="shared" si="14"/>
        <v>41331</v>
      </c>
      <c r="V154" s="365">
        <v>29269</v>
      </c>
      <c r="W154" s="366">
        <v>30967</v>
      </c>
      <c r="X154" s="368">
        <v>1026</v>
      </c>
      <c r="Y154" s="367">
        <v>1184</v>
      </c>
      <c r="Z154" s="360">
        <v>7286</v>
      </c>
      <c r="AA154" s="365"/>
      <c r="AB154" s="365"/>
      <c r="AC154" s="366">
        <v>9180</v>
      </c>
      <c r="AD154" s="366"/>
      <c r="AE154" s="369"/>
      <c r="AF154" s="360"/>
      <c r="AG154" s="366"/>
    </row>
    <row r="155" spans="1:33">
      <c r="A155" s="486" t="s">
        <v>75</v>
      </c>
      <c r="B155" s="487" t="s">
        <v>694</v>
      </c>
      <c r="C155" s="488"/>
      <c r="D155" s="486">
        <v>157173</v>
      </c>
      <c r="E155" s="313">
        <v>8</v>
      </c>
      <c r="F155" s="571">
        <f t="shared" si="11"/>
        <v>279169</v>
      </c>
      <c r="G155" s="555">
        <f t="shared" si="12"/>
        <v>286292</v>
      </c>
      <c r="H155" s="365">
        <v>179183</v>
      </c>
      <c r="I155" s="542">
        <v>175488</v>
      </c>
      <c r="J155" s="365">
        <v>28605</v>
      </c>
      <c r="K155" s="629">
        <v>28505</v>
      </c>
      <c r="L155" s="360">
        <v>70516</v>
      </c>
      <c r="M155" s="365">
        <v>865</v>
      </c>
      <c r="N155" s="365"/>
      <c r="O155" s="542">
        <v>82251</v>
      </c>
      <c r="P155" s="542">
        <v>48</v>
      </c>
      <c r="Q155" s="367"/>
      <c r="R155" s="360"/>
      <c r="S155" s="367"/>
      <c r="T155" s="573">
        <f t="shared" si="13"/>
        <v>0</v>
      </c>
      <c r="U155" s="574">
        <f t="shared" si="14"/>
        <v>0</v>
      </c>
      <c r="V155" s="365"/>
      <c r="W155" s="366"/>
      <c r="X155" s="368"/>
      <c r="Y155" s="367"/>
      <c r="Z155" s="360"/>
      <c r="AA155" s="365"/>
      <c r="AB155" s="365"/>
      <c r="AC155" s="366"/>
      <c r="AD155" s="366"/>
      <c r="AE155" s="369"/>
      <c r="AF155" s="360"/>
      <c r="AG155" s="366"/>
    </row>
    <row r="156" spans="1:33">
      <c r="A156" s="486" t="s">
        <v>75</v>
      </c>
      <c r="B156" s="487" t="s">
        <v>695</v>
      </c>
      <c r="C156" s="488"/>
      <c r="D156" s="486">
        <v>156921</v>
      </c>
      <c r="E156" s="313">
        <v>8</v>
      </c>
      <c r="F156" s="571">
        <f t="shared" si="11"/>
        <v>274026</v>
      </c>
      <c r="G156" s="555">
        <f t="shared" si="12"/>
        <v>266410</v>
      </c>
      <c r="H156" s="365">
        <v>212295</v>
      </c>
      <c r="I156" s="542">
        <v>201553</v>
      </c>
      <c r="J156" s="365">
        <v>14192</v>
      </c>
      <c r="K156" s="629">
        <v>14359</v>
      </c>
      <c r="L156" s="360">
        <v>46980</v>
      </c>
      <c r="M156" s="365">
        <v>559</v>
      </c>
      <c r="N156" s="365"/>
      <c r="O156" s="542">
        <v>49659</v>
      </c>
      <c r="P156" s="542">
        <v>839</v>
      </c>
      <c r="Q156" s="367"/>
      <c r="R156" s="360"/>
      <c r="S156" s="367"/>
      <c r="T156" s="573">
        <f t="shared" si="13"/>
        <v>0</v>
      </c>
      <c r="U156" s="574">
        <f t="shared" si="14"/>
        <v>0</v>
      </c>
      <c r="V156" s="365"/>
      <c r="W156" s="366"/>
      <c r="X156" s="368"/>
      <c r="Y156" s="367"/>
      <c r="Z156" s="360"/>
      <c r="AA156" s="365"/>
      <c r="AB156" s="365"/>
      <c r="AC156" s="366"/>
      <c r="AD156" s="366"/>
      <c r="AE156" s="369"/>
      <c r="AF156" s="360"/>
      <c r="AG156" s="366"/>
    </row>
    <row r="157" spans="1:33">
      <c r="A157" s="486" t="s">
        <v>75</v>
      </c>
      <c r="B157" s="487" t="s">
        <v>696</v>
      </c>
      <c r="C157" s="488"/>
      <c r="D157" s="486">
        <v>156231</v>
      </c>
      <c r="E157" s="313">
        <v>9</v>
      </c>
      <c r="F157" s="571">
        <f t="shared" si="11"/>
        <v>86918</v>
      </c>
      <c r="G157" s="555">
        <f t="shared" si="12"/>
        <v>86732</v>
      </c>
      <c r="H157" s="365">
        <v>59880</v>
      </c>
      <c r="I157" s="542">
        <v>57455</v>
      </c>
      <c r="J157" s="365">
        <v>9337</v>
      </c>
      <c r="K157" s="629">
        <v>9567</v>
      </c>
      <c r="L157" s="360">
        <v>17701</v>
      </c>
      <c r="M157" s="365"/>
      <c r="N157" s="365"/>
      <c r="O157" s="542">
        <v>19710</v>
      </c>
      <c r="P157" s="542"/>
      <c r="Q157" s="367"/>
      <c r="R157" s="360"/>
      <c r="S157" s="367"/>
      <c r="T157" s="573">
        <f t="shared" si="13"/>
        <v>0</v>
      </c>
      <c r="U157" s="574">
        <f t="shared" si="14"/>
        <v>0</v>
      </c>
      <c r="V157" s="365"/>
      <c r="W157" s="366"/>
      <c r="X157" s="368"/>
      <c r="Y157" s="367"/>
      <c r="Z157" s="360"/>
      <c r="AA157" s="365"/>
      <c r="AB157" s="365"/>
      <c r="AC157" s="366"/>
      <c r="AD157" s="366"/>
      <c r="AE157" s="369"/>
      <c r="AF157" s="360"/>
      <c r="AG157" s="366"/>
    </row>
    <row r="158" spans="1:33">
      <c r="A158" s="486" t="s">
        <v>75</v>
      </c>
      <c r="B158" s="487" t="s">
        <v>697</v>
      </c>
      <c r="C158" s="488"/>
      <c r="D158" s="314">
        <v>157553</v>
      </c>
      <c r="E158" s="313">
        <v>9</v>
      </c>
      <c r="F158" s="571">
        <f t="shared" si="11"/>
        <v>93039</v>
      </c>
      <c r="G158" s="555">
        <f t="shared" si="12"/>
        <v>87803</v>
      </c>
      <c r="H158" s="365">
        <v>41460</v>
      </c>
      <c r="I158" s="542">
        <v>40278</v>
      </c>
      <c r="J158" s="365">
        <v>11014</v>
      </c>
      <c r="K158" s="629">
        <v>10727</v>
      </c>
      <c r="L158" s="360">
        <v>40023</v>
      </c>
      <c r="M158" s="365">
        <v>542</v>
      </c>
      <c r="N158" s="365"/>
      <c r="O158" s="542">
        <v>36272</v>
      </c>
      <c r="P158" s="542">
        <v>526</v>
      </c>
      <c r="Q158" s="367"/>
      <c r="R158" s="360"/>
      <c r="S158" s="367"/>
      <c r="T158" s="573">
        <f t="shared" si="13"/>
        <v>0</v>
      </c>
      <c r="U158" s="574">
        <f t="shared" si="14"/>
        <v>0</v>
      </c>
      <c r="V158" s="365"/>
      <c r="W158" s="366"/>
      <c r="X158" s="368"/>
      <c r="Y158" s="367"/>
      <c r="Z158" s="360"/>
      <c r="AA158" s="365"/>
      <c r="AB158" s="365"/>
      <c r="AC158" s="366"/>
      <c r="AD158" s="366"/>
      <c r="AE158" s="369"/>
      <c r="AF158" s="360"/>
      <c r="AG158" s="366"/>
    </row>
    <row r="159" spans="1:33">
      <c r="A159" s="486" t="s">
        <v>75</v>
      </c>
      <c r="B159" s="487" t="s">
        <v>698</v>
      </c>
      <c r="C159" s="488"/>
      <c r="D159" s="314">
        <v>156648</v>
      </c>
      <c r="E159" s="313">
        <v>9</v>
      </c>
      <c r="F159" s="571">
        <f t="shared" si="11"/>
        <v>129073</v>
      </c>
      <c r="G159" s="555">
        <f t="shared" si="12"/>
        <v>127667</v>
      </c>
      <c r="H159" s="365">
        <v>98838</v>
      </c>
      <c r="I159" s="542">
        <v>92546</v>
      </c>
      <c r="J159" s="365">
        <v>2322</v>
      </c>
      <c r="K159" s="629">
        <v>2157</v>
      </c>
      <c r="L159" s="360">
        <v>27913</v>
      </c>
      <c r="M159" s="365"/>
      <c r="N159" s="365"/>
      <c r="O159" s="542">
        <v>32848</v>
      </c>
      <c r="P159" s="542">
        <v>116</v>
      </c>
      <c r="Q159" s="367"/>
      <c r="R159" s="360"/>
      <c r="S159" s="367"/>
      <c r="T159" s="573">
        <f t="shared" si="13"/>
        <v>0</v>
      </c>
      <c r="U159" s="574">
        <f t="shared" si="14"/>
        <v>0</v>
      </c>
      <c r="V159" s="365"/>
      <c r="W159" s="366"/>
      <c r="X159" s="368"/>
      <c r="Y159" s="367"/>
      <c r="Z159" s="360"/>
      <c r="AA159" s="365"/>
      <c r="AB159" s="365"/>
      <c r="AC159" s="366"/>
      <c r="AD159" s="366"/>
      <c r="AE159" s="369"/>
      <c r="AF159" s="360"/>
      <c r="AG159" s="366"/>
    </row>
    <row r="160" spans="1:33">
      <c r="A160" s="486" t="s">
        <v>75</v>
      </c>
      <c r="B160" s="487" t="s">
        <v>707</v>
      </c>
      <c r="C160" s="489" t="s">
        <v>379</v>
      </c>
      <c r="D160" s="314">
        <v>156860</v>
      </c>
      <c r="E160" s="352">
        <v>9</v>
      </c>
      <c r="F160" s="571">
        <f t="shared" si="11"/>
        <v>75637</v>
      </c>
      <c r="G160" s="555">
        <f t="shared" si="12"/>
        <v>78930</v>
      </c>
      <c r="H160" s="365">
        <v>55330</v>
      </c>
      <c r="I160" s="542">
        <v>56762</v>
      </c>
      <c r="J160" s="365">
        <v>2945</v>
      </c>
      <c r="K160" s="629">
        <v>2034</v>
      </c>
      <c r="L160" s="360">
        <v>17362</v>
      </c>
      <c r="M160" s="365"/>
      <c r="N160" s="365"/>
      <c r="O160" s="542">
        <v>20134</v>
      </c>
      <c r="P160" s="542"/>
      <c r="Q160" s="367"/>
      <c r="R160" s="360"/>
      <c r="S160" s="367"/>
      <c r="T160" s="573">
        <f t="shared" si="13"/>
        <v>0</v>
      </c>
      <c r="U160" s="574">
        <f t="shared" si="14"/>
        <v>0</v>
      </c>
      <c r="V160" s="365"/>
      <c r="W160" s="366"/>
      <c r="X160" s="368"/>
      <c r="Y160" s="367"/>
      <c r="Z160" s="360"/>
      <c r="AA160" s="365"/>
      <c r="AB160" s="365"/>
      <c r="AC160" s="366"/>
      <c r="AD160" s="366"/>
      <c r="AE160" s="369"/>
      <c r="AF160" s="360"/>
      <c r="AG160" s="366"/>
    </row>
    <row r="161" spans="1:33">
      <c r="A161" s="314" t="s">
        <v>75</v>
      </c>
      <c r="B161" s="315" t="s">
        <v>699</v>
      </c>
      <c r="C161" s="348"/>
      <c r="D161" s="314">
        <v>157304</v>
      </c>
      <c r="E161" s="316">
        <v>9</v>
      </c>
      <c r="F161" s="571">
        <f t="shared" si="11"/>
        <v>64799</v>
      </c>
      <c r="G161" s="555">
        <f t="shared" si="12"/>
        <v>62671</v>
      </c>
      <c r="H161" s="365">
        <v>53693</v>
      </c>
      <c r="I161" s="542">
        <v>49346</v>
      </c>
      <c r="J161" s="365">
        <v>483</v>
      </c>
      <c r="K161" s="629">
        <v>157</v>
      </c>
      <c r="L161" s="360">
        <v>10623</v>
      </c>
      <c r="M161" s="365"/>
      <c r="N161" s="365"/>
      <c r="O161" s="542">
        <v>13168</v>
      </c>
      <c r="P161" s="542"/>
      <c r="Q161" s="367"/>
      <c r="R161" s="360"/>
      <c r="S161" s="367"/>
      <c r="T161" s="573">
        <f t="shared" si="13"/>
        <v>0</v>
      </c>
      <c r="U161" s="574">
        <f t="shared" si="14"/>
        <v>0</v>
      </c>
      <c r="V161" s="365"/>
      <c r="W161" s="366"/>
      <c r="X161" s="368"/>
      <c r="Y161" s="367"/>
      <c r="Z161" s="360"/>
      <c r="AA161" s="365"/>
      <c r="AB161" s="365"/>
      <c r="AC161" s="366"/>
      <c r="AD161" s="366"/>
      <c r="AE161" s="369"/>
      <c r="AF161" s="360"/>
      <c r="AG161" s="366"/>
    </row>
    <row r="162" spans="1:33">
      <c r="A162" s="314" t="s">
        <v>75</v>
      </c>
      <c r="B162" s="315" t="s">
        <v>700</v>
      </c>
      <c r="C162" s="348"/>
      <c r="D162" s="314">
        <v>157331</v>
      </c>
      <c r="E162" s="316">
        <v>9</v>
      </c>
      <c r="F162" s="571">
        <f t="shared" si="11"/>
        <v>101898</v>
      </c>
      <c r="G162" s="555">
        <f t="shared" si="12"/>
        <v>103971</v>
      </c>
      <c r="H162" s="365">
        <v>35727</v>
      </c>
      <c r="I162" s="542">
        <v>32774</v>
      </c>
      <c r="J162" s="365">
        <v>15957</v>
      </c>
      <c r="K162" s="629">
        <v>15945</v>
      </c>
      <c r="L162" s="360">
        <v>47911</v>
      </c>
      <c r="M162" s="365">
        <v>2303</v>
      </c>
      <c r="N162" s="365"/>
      <c r="O162" s="542">
        <v>52856</v>
      </c>
      <c r="P162" s="542">
        <v>2396</v>
      </c>
      <c r="Q162" s="367"/>
      <c r="R162" s="360"/>
      <c r="S162" s="367"/>
      <c r="T162" s="573">
        <f t="shared" si="13"/>
        <v>0</v>
      </c>
      <c r="U162" s="574">
        <f t="shared" si="14"/>
        <v>0</v>
      </c>
      <c r="V162" s="365"/>
      <c r="W162" s="366"/>
      <c r="X162" s="368"/>
      <c r="Y162" s="367"/>
      <c r="Z162" s="360"/>
      <c r="AA162" s="365"/>
      <c r="AB162" s="365"/>
      <c r="AC162" s="366"/>
      <c r="AD162" s="366"/>
      <c r="AE162" s="369"/>
      <c r="AF162" s="360"/>
      <c r="AG162" s="366"/>
    </row>
    <row r="163" spans="1:33">
      <c r="A163" s="486" t="s">
        <v>75</v>
      </c>
      <c r="B163" s="487" t="s">
        <v>701</v>
      </c>
      <c r="C163" s="488"/>
      <c r="D163" s="314">
        <v>247940</v>
      </c>
      <c r="E163" s="313">
        <v>9</v>
      </c>
      <c r="F163" s="571">
        <f t="shared" si="11"/>
        <v>98974</v>
      </c>
      <c r="G163" s="555">
        <f t="shared" si="12"/>
        <v>96873</v>
      </c>
      <c r="H163" s="365">
        <v>88307</v>
      </c>
      <c r="I163" s="542">
        <v>84098</v>
      </c>
      <c r="J163" s="365">
        <v>820</v>
      </c>
      <c r="K163" s="629">
        <v>534</v>
      </c>
      <c r="L163" s="360">
        <v>9847</v>
      </c>
      <c r="M163" s="365"/>
      <c r="N163" s="365"/>
      <c r="O163" s="542">
        <v>12241</v>
      </c>
      <c r="P163" s="542"/>
      <c r="Q163" s="367"/>
      <c r="R163" s="360"/>
      <c r="S163" s="367"/>
      <c r="T163" s="573">
        <f t="shared" si="13"/>
        <v>0</v>
      </c>
      <c r="U163" s="574">
        <f t="shared" si="14"/>
        <v>0</v>
      </c>
      <c r="V163" s="365"/>
      <c r="W163" s="366"/>
      <c r="X163" s="368"/>
      <c r="Y163" s="367"/>
      <c r="Z163" s="360"/>
      <c r="AA163" s="365"/>
      <c r="AB163" s="365"/>
      <c r="AC163" s="366"/>
      <c r="AD163" s="366"/>
      <c r="AE163" s="369"/>
      <c r="AF163" s="360"/>
      <c r="AG163" s="366"/>
    </row>
    <row r="164" spans="1:33">
      <c r="A164" s="486" t="s">
        <v>75</v>
      </c>
      <c r="B164" s="487" t="s">
        <v>702</v>
      </c>
      <c r="C164" s="488" t="s">
        <v>710</v>
      </c>
      <c r="D164" s="314">
        <v>157711</v>
      </c>
      <c r="E164" s="313">
        <v>9</v>
      </c>
      <c r="F164" s="571">
        <f t="shared" si="11"/>
        <v>164331</v>
      </c>
      <c r="G164" s="555">
        <f t="shared" si="12"/>
        <v>173310</v>
      </c>
      <c r="H164" s="365">
        <v>102798</v>
      </c>
      <c r="I164" s="542">
        <v>100379</v>
      </c>
      <c r="J164" s="365">
        <v>5810</v>
      </c>
      <c r="K164" s="629">
        <v>6808</v>
      </c>
      <c r="L164" s="360">
        <v>48956</v>
      </c>
      <c r="M164" s="365">
        <v>6767</v>
      </c>
      <c r="N164" s="365"/>
      <c r="O164" s="542">
        <v>60329</v>
      </c>
      <c r="P164" s="542">
        <v>5794</v>
      </c>
      <c r="Q164" s="367"/>
      <c r="R164" s="360"/>
      <c r="S164" s="367"/>
      <c r="T164" s="573">
        <f t="shared" si="13"/>
        <v>0</v>
      </c>
      <c r="U164" s="574">
        <f t="shared" si="14"/>
        <v>0</v>
      </c>
      <c r="V164" s="365"/>
      <c r="W164" s="366"/>
      <c r="X164" s="368"/>
      <c r="Y164" s="367"/>
      <c r="Z164" s="360"/>
      <c r="AA164" s="365"/>
      <c r="AB164" s="365"/>
      <c r="AC164" s="366"/>
      <c r="AD164" s="366"/>
      <c r="AE164" s="369"/>
      <c r="AF164" s="360"/>
      <c r="AG164" s="366"/>
    </row>
    <row r="165" spans="1:33">
      <c r="A165" s="486" t="s">
        <v>75</v>
      </c>
      <c r="B165" s="487" t="s">
        <v>703</v>
      </c>
      <c r="C165" s="488"/>
      <c r="D165" s="314">
        <v>157739</v>
      </c>
      <c r="E165" s="313">
        <v>9</v>
      </c>
      <c r="F165" s="571">
        <f t="shared" si="11"/>
        <v>76086</v>
      </c>
      <c r="G165" s="555">
        <f t="shared" si="12"/>
        <v>72001</v>
      </c>
      <c r="H165" s="365">
        <v>26164</v>
      </c>
      <c r="I165" s="542">
        <v>23373</v>
      </c>
      <c r="J165" s="365">
        <v>28175</v>
      </c>
      <c r="K165" s="629">
        <v>26834</v>
      </c>
      <c r="L165" s="360">
        <v>18930</v>
      </c>
      <c r="M165" s="365">
        <v>2817</v>
      </c>
      <c r="N165" s="365"/>
      <c r="O165" s="542">
        <v>19281</v>
      </c>
      <c r="P165" s="542">
        <v>2513</v>
      </c>
      <c r="Q165" s="367"/>
      <c r="R165" s="360"/>
      <c r="S165" s="367"/>
      <c r="T165" s="573">
        <f t="shared" si="13"/>
        <v>0</v>
      </c>
      <c r="U165" s="574">
        <f t="shared" si="14"/>
        <v>0</v>
      </c>
      <c r="V165" s="365"/>
      <c r="W165" s="366"/>
      <c r="X165" s="368"/>
      <c r="Y165" s="367"/>
      <c r="Z165" s="360"/>
      <c r="AA165" s="365"/>
      <c r="AB165" s="365"/>
      <c r="AC165" s="366"/>
      <c r="AD165" s="366"/>
      <c r="AE165" s="369"/>
      <c r="AF165" s="360"/>
      <c r="AG165" s="366"/>
    </row>
    <row r="166" spans="1:33">
      <c r="A166" s="486" t="s">
        <v>75</v>
      </c>
      <c r="B166" s="487" t="s">
        <v>704</v>
      </c>
      <c r="C166" s="488"/>
      <c r="D166" s="314">
        <v>157483</v>
      </c>
      <c r="E166" s="313">
        <v>9</v>
      </c>
      <c r="F166" s="571">
        <f t="shared" si="11"/>
        <v>122445</v>
      </c>
      <c r="G166" s="555">
        <f t="shared" si="12"/>
        <v>128318</v>
      </c>
      <c r="H166" s="365">
        <v>81396</v>
      </c>
      <c r="I166" s="542">
        <v>84238</v>
      </c>
      <c r="J166" s="365">
        <v>2607</v>
      </c>
      <c r="K166" s="629">
        <v>1248</v>
      </c>
      <c r="L166" s="360">
        <v>38046</v>
      </c>
      <c r="M166" s="365">
        <v>396</v>
      </c>
      <c r="N166" s="365"/>
      <c r="O166" s="542">
        <v>42350</v>
      </c>
      <c r="P166" s="542">
        <v>482</v>
      </c>
      <c r="Q166" s="367"/>
      <c r="R166" s="360"/>
      <c r="S166" s="367"/>
      <c r="T166" s="573">
        <f t="shared" si="13"/>
        <v>0</v>
      </c>
      <c r="U166" s="574">
        <f t="shared" si="14"/>
        <v>0</v>
      </c>
      <c r="V166" s="365"/>
      <c r="W166" s="366"/>
      <c r="X166" s="368"/>
      <c r="Y166" s="367"/>
      <c r="Z166" s="360"/>
      <c r="AA166" s="365"/>
      <c r="AB166" s="365"/>
      <c r="AC166" s="366"/>
      <c r="AD166" s="366"/>
      <c r="AE166" s="369"/>
      <c r="AF166" s="360"/>
      <c r="AG166" s="366"/>
    </row>
    <row r="167" spans="1:33">
      <c r="A167" s="314" t="s">
        <v>75</v>
      </c>
      <c r="B167" s="487" t="s">
        <v>705</v>
      </c>
      <c r="C167" s="488" t="s">
        <v>711</v>
      </c>
      <c r="D167" s="314">
        <v>156790</v>
      </c>
      <c r="E167" s="313">
        <v>10</v>
      </c>
      <c r="F167" s="571">
        <f t="shared" si="11"/>
        <v>69676</v>
      </c>
      <c r="G167" s="555">
        <f t="shared" si="12"/>
        <v>68363</v>
      </c>
      <c r="H167" s="365">
        <v>50684</v>
      </c>
      <c r="I167" s="542">
        <v>45057</v>
      </c>
      <c r="J167" s="365">
        <v>336</v>
      </c>
      <c r="K167" s="629">
        <v>452</v>
      </c>
      <c r="L167" s="360">
        <v>16928</v>
      </c>
      <c r="M167" s="365">
        <v>1728</v>
      </c>
      <c r="N167" s="365"/>
      <c r="O167" s="542">
        <v>21049</v>
      </c>
      <c r="P167" s="542">
        <v>1805</v>
      </c>
      <c r="Q167" s="367"/>
      <c r="R167" s="360"/>
      <c r="S167" s="367"/>
      <c r="T167" s="573">
        <f t="shared" si="13"/>
        <v>0</v>
      </c>
      <c r="U167" s="574">
        <f t="shared" si="14"/>
        <v>0</v>
      </c>
      <c r="V167" s="365"/>
      <c r="W167" s="366"/>
      <c r="X167" s="368"/>
      <c r="Y167" s="367"/>
      <c r="Z167" s="360"/>
      <c r="AA167" s="365"/>
      <c r="AB167" s="365"/>
      <c r="AC167" s="366"/>
      <c r="AD167" s="366"/>
      <c r="AE167" s="369"/>
      <c r="AF167" s="360"/>
      <c r="AG167" s="366"/>
    </row>
    <row r="168" spans="1:33">
      <c r="A168" s="486" t="s">
        <v>75</v>
      </c>
      <c r="B168" s="487" t="s">
        <v>706</v>
      </c>
      <c r="C168" s="488"/>
      <c r="D168" s="314">
        <v>156851</v>
      </c>
      <c r="E168" s="313">
        <v>10</v>
      </c>
      <c r="F168" s="571">
        <f t="shared" si="11"/>
        <v>45194</v>
      </c>
      <c r="G168" s="555">
        <f t="shared" si="12"/>
        <v>43236</v>
      </c>
      <c r="H168" s="365">
        <v>26790</v>
      </c>
      <c r="I168" s="542">
        <v>24502</v>
      </c>
      <c r="J168" s="365">
        <v>939</v>
      </c>
      <c r="K168" s="629">
        <v>477</v>
      </c>
      <c r="L168" s="360">
        <v>17071</v>
      </c>
      <c r="M168" s="365">
        <v>394</v>
      </c>
      <c r="N168" s="365"/>
      <c r="O168" s="542">
        <v>17896</v>
      </c>
      <c r="P168" s="542">
        <v>361</v>
      </c>
      <c r="Q168" s="367"/>
      <c r="R168" s="360"/>
      <c r="S168" s="367"/>
      <c r="T168" s="573">
        <f t="shared" si="13"/>
        <v>0</v>
      </c>
      <c r="U168" s="574">
        <f t="shared" si="14"/>
        <v>0</v>
      </c>
      <c r="V168" s="365"/>
      <c r="W168" s="366"/>
      <c r="X168" s="368"/>
      <c r="Y168" s="367"/>
      <c r="Z168" s="360"/>
      <c r="AA168" s="365"/>
      <c r="AB168" s="365"/>
      <c r="AC168" s="366"/>
      <c r="AD168" s="366"/>
      <c r="AE168" s="369"/>
      <c r="AF168" s="360"/>
      <c r="AG168" s="366"/>
    </row>
    <row r="169" spans="1:33">
      <c r="A169" s="314" t="s">
        <v>75</v>
      </c>
      <c r="B169" s="487" t="s">
        <v>708</v>
      </c>
      <c r="C169" s="488"/>
      <c r="D169" s="314">
        <v>156338</v>
      </c>
      <c r="E169" s="313">
        <v>12</v>
      </c>
      <c r="F169" s="571">
        <f t="shared" si="11"/>
        <v>67511</v>
      </c>
      <c r="G169" s="555">
        <f t="shared" si="12"/>
        <v>69358</v>
      </c>
      <c r="H169" s="365">
        <v>59290</v>
      </c>
      <c r="I169" s="542">
        <v>58870</v>
      </c>
      <c r="J169" s="365">
        <v>810</v>
      </c>
      <c r="K169" s="629">
        <v>693</v>
      </c>
      <c r="L169" s="360">
        <v>7411</v>
      </c>
      <c r="M169" s="365"/>
      <c r="N169" s="365"/>
      <c r="O169" s="542">
        <v>9795</v>
      </c>
      <c r="P169" s="542"/>
      <c r="Q169" s="367"/>
      <c r="R169" s="360"/>
      <c r="S169" s="367"/>
      <c r="T169" s="573">
        <f t="shared" si="13"/>
        <v>0</v>
      </c>
      <c r="U169" s="574">
        <f t="shared" si="14"/>
        <v>0</v>
      </c>
      <c r="V169" s="365"/>
      <c r="W169" s="366"/>
      <c r="X169" s="368"/>
      <c r="Y169" s="367"/>
      <c r="Z169" s="360"/>
      <c r="AA169" s="365"/>
      <c r="AB169" s="365"/>
      <c r="AC169" s="366"/>
      <c r="AD169" s="366"/>
      <c r="AE169" s="369"/>
      <c r="AF169" s="360"/>
      <c r="AG169" s="366"/>
    </row>
    <row r="170" spans="1:33">
      <c r="A170" s="314" t="s">
        <v>75</v>
      </c>
      <c r="B170" s="315" t="s">
        <v>709</v>
      </c>
      <c r="C170" s="348"/>
      <c r="D170" s="314">
        <v>157438</v>
      </c>
      <c r="E170" s="316">
        <v>12</v>
      </c>
      <c r="F170" s="571">
        <f t="shared" si="11"/>
        <v>70022</v>
      </c>
      <c r="G170" s="555">
        <f t="shared" si="12"/>
        <v>75156</v>
      </c>
      <c r="H170" s="365">
        <v>67062</v>
      </c>
      <c r="I170" s="542">
        <v>70221</v>
      </c>
      <c r="J170" s="365"/>
      <c r="K170" s="629"/>
      <c r="L170" s="360">
        <v>2960</v>
      </c>
      <c r="M170" s="365"/>
      <c r="N170" s="365"/>
      <c r="O170" s="542">
        <v>4935</v>
      </c>
      <c r="P170" s="542"/>
      <c r="Q170" s="367"/>
      <c r="R170" s="360"/>
      <c r="S170" s="367"/>
      <c r="T170" s="573">
        <f t="shared" si="13"/>
        <v>0</v>
      </c>
      <c r="U170" s="574">
        <f t="shared" si="14"/>
        <v>0</v>
      </c>
      <c r="V170" s="365"/>
      <c r="W170" s="366"/>
      <c r="X170" s="368"/>
      <c r="Y170" s="367"/>
      <c r="Z170" s="360"/>
      <c r="AA170" s="365"/>
      <c r="AB170" s="365"/>
      <c r="AC170" s="366"/>
      <c r="AD170" s="366"/>
      <c r="AE170" s="369"/>
      <c r="AF170" s="360"/>
      <c r="AG170" s="366"/>
    </row>
    <row r="171" spans="1:33">
      <c r="A171" s="607" t="s">
        <v>76</v>
      </c>
      <c r="B171" s="608"/>
      <c r="C171" s="609"/>
      <c r="D171" s="607"/>
      <c r="E171" s="610">
        <v>1</v>
      </c>
      <c r="F171" s="611"/>
      <c r="G171" s="612"/>
      <c r="H171" s="613"/>
      <c r="I171" s="576"/>
      <c r="J171" s="613"/>
      <c r="K171" s="577"/>
      <c r="L171" s="614"/>
      <c r="M171" s="613"/>
      <c r="N171" s="613"/>
      <c r="O171" s="576"/>
      <c r="P171" s="576"/>
      <c r="Q171" s="577"/>
      <c r="R171" s="614"/>
      <c r="S171" s="577"/>
      <c r="T171" s="615"/>
      <c r="U171" s="616"/>
      <c r="V171" s="613"/>
      <c r="W171" s="576"/>
      <c r="X171" s="617"/>
      <c r="Y171" s="577"/>
      <c r="Z171" s="614"/>
      <c r="AA171" s="613"/>
      <c r="AB171" s="613"/>
      <c r="AC171" s="576"/>
      <c r="AD171" s="576"/>
      <c r="AE171" s="579"/>
      <c r="AF171" s="614"/>
      <c r="AG171" s="576"/>
    </row>
    <row r="172" spans="1:33">
      <c r="A172" s="490" t="s">
        <v>77</v>
      </c>
      <c r="B172" s="466" t="s">
        <v>712</v>
      </c>
      <c r="C172" s="467"/>
      <c r="D172" s="493">
        <v>163286</v>
      </c>
      <c r="E172" s="459">
        <v>1</v>
      </c>
      <c r="F172" s="571">
        <f t="shared" si="11"/>
        <v>799218</v>
      </c>
      <c r="G172" s="555">
        <f t="shared" si="12"/>
        <v>799551</v>
      </c>
      <c r="H172" s="365">
        <v>771256</v>
      </c>
      <c r="I172" s="366">
        <v>766563</v>
      </c>
      <c r="J172" s="365">
        <v>16898</v>
      </c>
      <c r="K172" s="367">
        <v>18027</v>
      </c>
      <c r="L172" s="360">
        <v>10719</v>
      </c>
      <c r="M172" s="365">
        <v>345</v>
      </c>
      <c r="N172" s="365"/>
      <c r="O172" s="366">
        <v>14961</v>
      </c>
      <c r="P172" s="366">
        <v>0</v>
      </c>
      <c r="Q172" s="367">
        <v>0</v>
      </c>
      <c r="R172" s="360"/>
      <c r="S172" s="367">
        <v>0</v>
      </c>
      <c r="T172" s="573">
        <f t="shared" si="13"/>
        <v>156544.5</v>
      </c>
      <c r="U172" s="574">
        <f t="shared" si="14"/>
        <v>158873</v>
      </c>
      <c r="V172" s="365">
        <v>115130.5</v>
      </c>
      <c r="W172" s="366">
        <v>114938</v>
      </c>
      <c r="X172" s="368">
        <v>35031</v>
      </c>
      <c r="Y172" s="367">
        <v>37212</v>
      </c>
      <c r="Z172" s="360">
        <v>5393</v>
      </c>
      <c r="AA172" s="365">
        <v>990</v>
      </c>
      <c r="AB172" s="365"/>
      <c r="AC172" s="366">
        <v>5774</v>
      </c>
      <c r="AD172" s="366">
        <v>949</v>
      </c>
      <c r="AE172" s="369">
        <v>0</v>
      </c>
      <c r="AF172" s="360"/>
      <c r="AG172" s="366">
        <v>0</v>
      </c>
    </row>
    <row r="173" spans="1:33">
      <c r="A173" s="490" t="s">
        <v>77</v>
      </c>
      <c r="B173" s="466" t="s">
        <v>714</v>
      </c>
      <c r="C173" s="494" t="s">
        <v>740</v>
      </c>
      <c r="D173" s="493">
        <v>163453</v>
      </c>
      <c r="E173" s="495">
        <v>2</v>
      </c>
      <c r="F173" s="571">
        <f t="shared" si="11"/>
        <v>181220</v>
      </c>
      <c r="G173" s="555">
        <f t="shared" si="12"/>
        <v>191053</v>
      </c>
      <c r="H173" s="365">
        <v>180110</v>
      </c>
      <c r="I173" s="366">
        <v>188521</v>
      </c>
      <c r="J173" s="365">
        <v>408</v>
      </c>
      <c r="K173" s="367">
        <v>404</v>
      </c>
      <c r="L173" s="360">
        <v>702</v>
      </c>
      <c r="M173" s="365"/>
      <c r="N173" s="365"/>
      <c r="O173" s="366">
        <v>2128</v>
      </c>
      <c r="P173" s="366">
        <v>0</v>
      </c>
      <c r="Q173" s="367">
        <v>0</v>
      </c>
      <c r="R173" s="360"/>
      <c r="S173" s="367">
        <v>0</v>
      </c>
      <c r="T173" s="573">
        <f t="shared" si="13"/>
        <v>17903</v>
      </c>
      <c r="U173" s="574">
        <f t="shared" si="14"/>
        <v>20593</v>
      </c>
      <c r="V173" s="365">
        <v>16748</v>
      </c>
      <c r="W173" s="366">
        <v>18313</v>
      </c>
      <c r="X173" s="368">
        <v>585</v>
      </c>
      <c r="Y173" s="367">
        <v>583</v>
      </c>
      <c r="Z173" s="360">
        <v>570</v>
      </c>
      <c r="AA173" s="365"/>
      <c r="AB173" s="365"/>
      <c r="AC173" s="366">
        <v>1697</v>
      </c>
      <c r="AD173" s="366">
        <v>0</v>
      </c>
      <c r="AE173" s="369">
        <v>0</v>
      </c>
      <c r="AF173" s="360"/>
      <c r="AG173" s="366">
        <v>0</v>
      </c>
    </row>
    <row r="174" spans="1:33">
      <c r="A174" s="490" t="s">
        <v>77</v>
      </c>
      <c r="B174" s="466" t="s">
        <v>713</v>
      </c>
      <c r="C174" s="467"/>
      <c r="D174" s="493">
        <v>163268</v>
      </c>
      <c r="E174" s="459">
        <v>2</v>
      </c>
      <c r="F174" s="571">
        <f t="shared" si="11"/>
        <v>290420.5</v>
      </c>
      <c r="G174" s="555">
        <f t="shared" si="12"/>
        <v>297770</v>
      </c>
      <c r="H174" s="365">
        <v>262511.5</v>
      </c>
      <c r="I174" s="366">
        <v>266582</v>
      </c>
      <c r="J174" s="365">
        <v>5732</v>
      </c>
      <c r="K174" s="367">
        <v>5529</v>
      </c>
      <c r="L174" s="360">
        <v>22177</v>
      </c>
      <c r="M174" s="365"/>
      <c r="N174" s="365"/>
      <c r="O174" s="366">
        <v>25659</v>
      </c>
      <c r="P174" s="366">
        <v>0</v>
      </c>
      <c r="Q174" s="367">
        <v>0</v>
      </c>
      <c r="R174" s="360"/>
      <c r="S174" s="367">
        <v>0</v>
      </c>
      <c r="T174" s="573">
        <f t="shared" si="13"/>
        <v>35406</v>
      </c>
      <c r="U174" s="574">
        <f t="shared" si="14"/>
        <v>33838</v>
      </c>
      <c r="V174" s="365">
        <v>26415</v>
      </c>
      <c r="W174" s="366">
        <v>26158</v>
      </c>
      <c r="X174" s="368">
        <v>2985</v>
      </c>
      <c r="Y174" s="367">
        <v>2146</v>
      </c>
      <c r="Z174" s="360">
        <v>5494</v>
      </c>
      <c r="AA174" s="365">
        <v>444</v>
      </c>
      <c r="AB174" s="365">
        <v>68</v>
      </c>
      <c r="AC174" s="366">
        <v>5534</v>
      </c>
      <c r="AD174" s="366">
        <v>0</v>
      </c>
      <c r="AE174" s="369">
        <v>0</v>
      </c>
      <c r="AF174" s="360"/>
      <c r="AG174" s="366">
        <v>0</v>
      </c>
    </row>
    <row r="175" spans="1:33">
      <c r="A175" s="490" t="s">
        <v>77</v>
      </c>
      <c r="B175" s="466" t="s">
        <v>715</v>
      </c>
      <c r="C175" s="467"/>
      <c r="D175" s="493">
        <v>164076</v>
      </c>
      <c r="E175" s="459">
        <v>3</v>
      </c>
      <c r="F175" s="571">
        <f t="shared" si="11"/>
        <v>506715.5</v>
      </c>
      <c r="G175" s="555">
        <f t="shared" si="12"/>
        <v>506306.5</v>
      </c>
      <c r="H175" s="365">
        <v>471904.5</v>
      </c>
      <c r="I175" s="366">
        <v>470902.5</v>
      </c>
      <c r="J175" s="365">
        <v>9687</v>
      </c>
      <c r="K175" s="367">
        <v>9374</v>
      </c>
      <c r="L175" s="360">
        <v>25124</v>
      </c>
      <c r="M175" s="365"/>
      <c r="N175" s="365"/>
      <c r="O175" s="366">
        <v>25793</v>
      </c>
      <c r="P175" s="366">
        <v>237</v>
      </c>
      <c r="Q175" s="367">
        <v>0</v>
      </c>
      <c r="R175" s="360"/>
      <c r="S175" s="367">
        <v>0</v>
      </c>
      <c r="T175" s="573">
        <f t="shared" si="13"/>
        <v>58131.5</v>
      </c>
      <c r="U175" s="574">
        <f t="shared" si="14"/>
        <v>57519</v>
      </c>
      <c r="V175" s="365">
        <v>35962.5</v>
      </c>
      <c r="W175" s="366">
        <v>36863</v>
      </c>
      <c r="X175" s="368">
        <v>15930</v>
      </c>
      <c r="Y175" s="367">
        <v>12597</v>
      </c>
      <c r="Z175" s="360">
        <v>6098</v>
      </c>
      <c r="AA175" s="365">
        <v>141</v>
      </c>
      <c r="AB175" s="365"/>
      <c r="AC175" s="366">
        <v>7732</v>
      </c>
      <c r="AD175" s="366">
        <v>327</v>
      </c>
      <c r="AE175" s="369">
        <v>0</v>
      </c>
      <c r="AF175" s="360"/>
      <c r="AG175" s="366">
        <v>0</v>
      </c>
    </row>
    <row r="176" spans="1:33">
      <c r="A176" s="490" t="s">
        <v>77</v>
      </c>
      <c r="B176" s="466" t="s">
        <v>716</v>
      </c>
      <c r="C176" s="467"/>
      <c r="D176" s="493">
        <v>162007</v>
      </c>
      <c r="E176" s="459">
        <v>4</v>
      </c>
      <c r="F176" s="571">
        <f t="shared" si="11"/>
        <v>121720</v>
      </c>
      <c r="G176" s="555">
        <f t="shared" si="12"/>
        <v>122617</v>
      </c>
      <c r="H176" s="365">
        <v>112688</v>
      </c>
      <c r="I176" s="366">
        <v>111003</v>
      </c>
      <c r="J176" s="365">
        <v>905</v>
      </c>
      <c r="K176" s="367">
        <v>1017</v>
      </c>
      <c r="L176" s="360">
        <v>8127</v>
      </c>
      <c r="M176" s="365"/>
      <c r="N176" s="365"/>
      <c r="O176" s="366">
        <v>10597</v>
      </c>
      <c r="P176" s="366">
        <v>0</v>
      </c>
      <c r="Q176" s="367">
        <v>0</v>
      </c>
      <c r="R176" s="360"/>
      <c r="S176" s="367">
        <v>0</v>
      </c>
      <c r="T176" s="573">
        <f t="shared" si="13"/>
        <v>16332</v>
      </c>
      <c r="U176" s="574">
        <f t="shared" si="14"/>
        <v>15966</v>
      </c>
      <c r="V176" s="365">
        <v>15461</v>
      </c>
      <c r="W176" s="366">
        <v>15050</v>
      </c>
      <c r="X176" s="368">
        <v>340</v>
      </c>
      <c r="Y176" s="367">
        <v>236</v>
      </c>
      <c r="Z176" s="360">
        <v>531</v>
      </c>
      <c r="AA176" s="365"/>
      <c r="AB176" s="365"/>
      <c r="AC176" s="366">
        <v>680</v>
      </c>
      <c r="AD176" s="366">
        <v>0</v>
      </c>
      <c r="AE176" s="369">
        <v>0</v>
      </c>
      <c r="AF176" s="360"/>
      <c r="AG176" s="366">
        <v>0</v>
      </c>
    </row>
    <row r="177" spans="1:33">
      <c r="A177" s="490" t="s">
        <v>77</v>
      </c>
      <c r="B177" s="466" t="s">
        <v>717</v>
      </c>
      <c r="C177" s="467" t="s">
        <v>741</v>
      </c>
      <c r="D177" s="493">
        <v>162283</v>
      </c>
      <c r="E177" s="459">
        <v>4</v>
      </c>
      <c r="F177" s="571">
        <f t="shared" si="11"/>
        <v>93467</v>
      </c>
      <c r="G177" s="555">
        <f t="shared" si="12"/>
        <v>90877</v>
      </c>
      <c r="H177" s="365">
        <v>85096</v>
      </c>
      <c r="I177" s="366">
        <v>81079</v>
      </c>
      <c r="J177" s="365">
        <v>0</v>
      </c>
      <c r="K177" s="367">
        <v>0</v>
      </c>
      <c r="L177" s="360">
        <v>8371</v>
      </c>
      <c r="M177" s="365"/>
      <c r="N177" s="365"/>
      <c r="O177" s="366">
        <v>9798</v>
      </c>
      <c r="P177" s="366">
        <v>0</v>
      </c>
      <c r="Q177" s="367">
        <v>0</v>
      </c>
      <c r="R177" s="360"/>
      <c r="S177" s="367">
        <v>0</v>
      </c>
      <c r="T177" s="573">
        <f t="shared" si="13"/>
        <v>7544</v>
      </c>
      <c r="U177" s="574">
        <f t="shared" si="14"/>
        <v>6866</v>
      </c>
      <c r="V177" s="365">
        <v>5601</v>
      </c>
      <c r="W177" s="366">
        <v>5747</v>
      </c>
      <c r="X177" s="368">
        <v>1035</v>
      </c>
      <c r="Y177" s="367">
        <v>336</v>
      </c>
      <c r="Z177" s="360">
        <v>908</v>
      </c>
      <c r="AA177" s="365"/>
      <c r="AB177" s="365"/>
      <c r="AC177" s="366">
        <v>783</v>
      </c>
      <c r="AD177" s="366">
        <v>0</v>
      </c>
      <c r="AE177" s="369">
        <v>0</v>
      </c>
      <c r="AF177" s="360"/>
      <c r="AG177" s="366">
        <v>0</v>
      </c>
    </row>
    <row r="178" spans="1:33">
      <c r="A178" s="490" t="s">
        <v>77</v>
      </c>
      <c r="B178" s="466" t="s">
        <v>718</v>
      </c>
      <c r="C178" s="467"/>
      <c r="D178" s="493">
        <v>162584</v>
      </c>
      <c r="E178" s="459">
        <v>4</v>
      </c>
      <c r="F178" s="571">
        <f t="shared" si="11"/>
        <v>137084</v>
      </c>
      <c r="G178" s="555">
        <f t="shared" si="12"/>
        <v>136980</v>
      </c>
      <c r="H178" s="365">
        <v>122380</v>
      </c>
      <c r="I178" s="366">
        <v>120267</v>
      </c>
      <c r="J178" s="365">
        <v>1978</v>
      </c>
      <c r="K178" s="367">
        <v>2334</v>
      </c>
      <c r="L178" s="360">
        <v>12660</v>
      </c>
      <c r="M178" s="365">
        <v>66</v>
      </c>
      <c r="N178" s="365"/>
      <c r="O178" s="366">
        <v>14298</v>
      </c>
      <c r="P178" s="366">
        <v>81</v>
      </c>
      <c r="Q178" s="367">
        <v>0</v>
      </c>
      <c r="R178" s="360"/>
      <c r="S178" s="367">
        <v>0</v>
      </c>
      <c r="T178" s="573">
        <f t="shared" si="13"/>
        <v>11123</v>
      </c>
      <c r="U178" s="574">
        <f t="shared" si="14"/>
        <v>10914.5</v>
      </c>
      <c r="V178" s="365">
        <v>4607</v>
      </c>
      <c r="W178" s="366">
        <v>4152.5</v>
      </c>
      <c r="X178" s="368">
        <v>2741</v>
      </c>
      <c r="Y178" s="367">
        <v>1894</v>
      </c>
      <c r="Z178" s="360">
        <v>3646</v>
      </c>
      <c r="AA178" s="365">
        <v>129</v>
      </c>
      <c r="AB178" s="365"/>
      <c r="AC178" s="366">
        <v>4868</v>
      </c>
      <c r="AD178" s="366">
        <v>0</v>
      </c>
      <c r="AE178" s="369">
        <v>0</v>
      </c>
      <c r="AF178" s="360"/>
      <c r="AG178" s="366">
        <v>0</v>
      </c>
    </row>
    <row r="179" spans="1:33">
      <c r="A179" s="490" t="s">
        <v>77</v>
      </c>
      <c r="B179" s="466" t="s">
        <v>719</v>
      </c>
      <c r="C179" s="467"/>
      <c r="D179" s="493">
        <v>163851</v>
      </c>
      <c r="E179" s="459">
        <v>4</v>
      </c>
      <c r="F179" s="571">
        <f t="shared" si="11"/>
        <v>226113</v>
      </c>
      <c r="G179" s="555">
        <f t="shared" si="12"/>
        <v>231853</v>
      </c>
      <c r="H179" s="365">
        <v>209991</v>
      </c>
      <c r="I179" s="366">
        <v>211326</v>
      </c>
      <c r="J179" s="365">
        <v>1472</v>
      </c>
      <c r="K179" s="367">
        <v>1391</v>
      </c>
      <c r="L179" s="360">
        <v>13671</v>
      </c>
      <c r="M179" s="365">
        <v>979</v>
      </c>
      <c r="N179" s="365"/>
      <c r="O179" s="366">
        <v>16697</v>
      </c>
      <c r="P179" s="366">
        <v>2439</v>
      </c>
      <c r="Q179" s="367">
        <v>0</v>
      </c>
      <c r="R179" s="360"/>
      <c r="S179" s="367">
        <v>0</v>
      </c>
      <c r="T179" s="573">
        <f t="shared" si="13"/>
        <v>9829</v>
      </c>
      <c r="U179" s="574">
        <f t="shared" si="14"/>
        <v>11568</v>
      </c>
      <c r="V179" s="365">
        <v>6259</v>
      </c>
      <c r="W179" s="366">
        <v>5917</v>
      </c>
      <c r="X179" s="368">
        <v>174</v>
      </c>
      <c r="Y179" s="367">
        <v>159</v>
      </c>
      <c r="Z179" s="360">
        <v>2091</v>
      </c>
      <c r="AA179" s="365">
        <v>1305</v>
      </c>
      <c r="AB179" s="365"/>
      <c r="AC179" s="366">
        <v>2702</v>
      </c>
      <c r="AD179" s="366">
        <v>2790</v>
      </c>
      <c r="AE179" s="369">
        <v>0</v>
      </c>
      <c r="AF179" s="360"/>
      <c r="AG179" s="366">
        <v>0</v>
      </c>
    </row>
    <row r="180" spans="1:33">
      <c r="A180" s="490" t="s">
        <v>77</v>
      </c>
      <c r="B180" s="466" t="s">
        <v>720</v>
      </c>
      <c r="C180" s="467"/>
      <c r="D180" s="493">
        <v>161873</v>
      </c>
      <c r="E180" s="459">
        <v>4</v>
      </c>
      <c r="F180" s="571">
        <f t="shared" si="11"/>
        <v>69333</v>
      </c>
      <c r="G180" s="555">
        <f t="shared" si="12"/>
        <v>71004</v>
      </c>
      <c r="H180" s="365">
        <v>55373</v>
      </c>
      <c r="I180" s="366">
        <v>57496</v>
      </c>
      <c r="J180" s="365">
        <v>1359</v>
      </c>
      <c r="K180" s="367">
        <v>967</v>
      </c>
      <c r="L180" s="360">
        <v>12601</v>
      </c>
      <c r="M180" s="365"/>
      <c r="N180" s="365"/>
      <c r="O180" s="366">
        <v>12541</v>
      </c>
      <c r="P180" s="366">
        <v>0</v>
      </c>
      <c r="Q180" s="367">
        <v>0</v>
      </c>
      <c r="R180" s="360"/>
      <c r="S180" s="367">
        <v>0</v>
      </c>
      <c r="T180" s="573">
        <f t="shared" si="13"/>
        <v>137530</v>
      </c>
      <c r="U180" s="574">
        <f t="shared" si="14"/>
        <v>56542</v>
      </c>
      <c r="V180" s="365">
        <v>46305</v>
      </c>
      <c r="W180" s="366">
        <v>46274</v>
      </c>
      <c r="X180" s="368">
        <v>2255</v>
      </c>
      <c r="Y180" s="367">
        <v>1754</v>
      </c>
      <c r="Z180" s="360">
        <v>88970</v>
      </c>
      <c r="AA180" s="365"/>
      <c r="AB180" s="365"/>
      <c r="AC180" s="366">
        <v>8514</v>
      </c>
      <c r="AD180" s="366">
        <v>0</v>
      </c>
      <c r="AE180" s="369">
        <v>0</v>
      </c>
      <c r="AF180" s="360"/>
      <c r="AG180" s="366">
        <v>0</v>
      </c>
    </row>
    <row r="181" spans="1:33">
      <c r="A181" s="490" t="s">
        <v>77</v>
      </c>
      <c r="B181" s="466" t="s">
        <v>721</v>
      </c>
      <c r="C181" s="467"/>
      <c r="D181" s="493">
        <v>163338</v>
      </c>
      <c r="E181" s="459">
        <v>4</v>
      </c>
      <c r="F181" s="571">
        <f t="shared" si="11"/>
        <v>117477</v>
      </c>
      <c r="G181" s="555">
        <f t="shared" si="12"/>
        <v>114098.5</v>
      </c>
      <c r="H181" s="365">
        <v>111235</v>
      </c>
      <c r="I181" s="366">
        <v>106429.5</v>
      </c>
      <c r="J181" s="365">
        <v>2276</v>
      </c>
      <c r="K181" s="367">
        <v>2637</v>
      </c>
      <c r="L181" s="360">
        <v>3966</v>
      </c>
      <c r="M181" s="365"/>
      <c r="N181" s="365"/>
      <c r="O181" s="366">
        <v>5032</v>
      </c>
      <c r="P181" s="366">
        <v>0</v>
      </c>
      <c r="Q181" s="367">
        <v>0</v>
      </c>
      <c r="R181" s="360"/>
      <c r="S181" s="367">
        <v>0</v>
      </c>
      <c r="T181" s="573">
        <f t="shared" si="13"/>
        <v>9092</v>
      </c>
      <c r="U181" s="574">
        <f t="shared" si="14"/>
        <v>14028.5</v>
      </c>
      <c r="V181" s="365">
        <v>8756</v>
      </c>
      <c r="W181" s="366">
        <v>13716.5</v>
      </c>
      <c r="X181" s="368">
        <v>192</v>
      </c>
      <c r="Y181" s="367">
        <v>99</v>
      </c>
      <c r="Z181" s="360">
        <v>144</v>
      </c>
      <c r="AA181" s="365"/>
      <c r="AB181" s="365"/>
      <c r="AC181" s="366">
        <v>213</v>
      </c>
      <c r="AD181" s="366">
        <v>0</v>
      </c>
      <c r="AE181" s="369">
        <v>0</v>
      </c>
      <c r="AF181" s="360"/>
      <c r="AG181" s="366">
        <v>0</v>
      </c>
    </row>
    <row r="182" spans="1:33">
      <c r="A182" s="490" t="s">
        <v>77</v>
      </c>
      <c r="B182" s="466" t="s">
        <v>722</v>
      </c>
      <c r="C182" s="467" t="s">
        <v>741</v>
      </c>
      <c r="D182" s="493">
        <v>163912</v>
      </c>
      <c r="E182" s="459">
        <v>6</v>
      </c>
      <c r="F182" s="571">
        <f t="shared" si="11"/>
        <v>62834.5</v>
      </c>
      <c r="G182" s="555">
        <f t="shared" si="12"/>
        <v>65152.5</v>
      </c>
      <c r="H182" s="365">
        <v>62834.5</v>
      </c>
      <c r="I182" s="366">
        <v>65152.5</v>
      </c>
      <c r="J182" s="365">
        <v>0</v>
      </c>
      <c r="K182" s="367">
        <v>0</v>
      </c>
      <c r="L182" s="360"/>
      <c r="M182" s="365"/>
      <c r="N182" s="365"/>
      <c r="O182" s="366">
        <v>0</v>
      </c>
      <c r="P182" s="366">
        <v>0</v>
      </c>
      <c r="Q182" s="367">
        <v>0</v>
      </c>
      <c r="R182" s="360"/>
      <c r="S182" s="367">
        <v>0</v>
      </c>
      <c r="T182" s="573">
        <f t="shared" si="13"/>
        <v>1937</v>
      </c>
      <c r="U182" s="574">
        <f t="shared" si="14"/>
        <v>1577</v>
      </c>
      <c r="V182" s="365">
        <v>1937</v>
      </c>
      <c r="W182" s="366">
        <v>1577</v>
      </c>
      <c r="X182" s="368"/>
      <c r="Y182" s="367"/>
      <c r="Z182" s="360"/>
      <c r="AA182" s="365"/>
      <c r="AB182" s="365"/>
      <c r="AC182" s="366">
        <v>0</v>
      </c>
      <c r="AD182" s="366">
        <v>0</v>
      </c>
      <c r="AE182" s="369">
        <v>0</v>
      </c>
      <c r="AF182" s="360"/>
      <c r="AG182" s="366">
        <v>0</v>
      </c>
    </row>
    <row r="183" spans="1:33">
      <c r="A183" s="490" t="s">
        <v>77</v>
      </c>
      <c r="B183" s="466" t="s">
        <v>723</v>
      </c>
      <c r="C183" s="467"/>
      <c r="D183" s="493">
        <v>161767</v>
      </c>
      <c r="E183" s="447">
        <v>8</v>
      </c>
      <c r="F183" s="571">
        <f t="shared" si="11"/>
        <v>329974.5</v>
      </c>
      <c r="G183" s="555">
        <f t="shared" si="12"/>
        <v>331724</v>
      </c>
      <c r="H183" s="365">
        <v>251912.5</v>
      </c>
      <c r="I183" s="366">
        <v>247819</v>
      </c>
      <c r="J183" s="365">
        <v>4804</v>
      </c>
      <c r="K183" s="367">
        <v>4294</v>
      </c>
      <c r="L183" s="360">
        <v>72439</v>
      </c>
      <c r="M183" s="365">
        <v>297</v>
      </c>
      <c r="N183" s="365">
        <v>522</v>
      </c>
      <c r="O183" s="366">
        <v>79373</v>
      </c>
      <c r="P183" s="366">
        <v>238</v>
      </c>
      <c r="Q183" s="367">
        <v>0</v>
      </c>
      <c r="R183" s="360"/>
      <c r="S183" s="367">
        <v>0</v>
      </c>
      <c r="T183" s="573">
        <f t="shared" si="13"/>
        <v>0</v>
      </c>
      <c r="U183" s="574">
        <f t="shared" si="14"/>
        <v>0</v>
      </c>
      <c r="V183" s="365"/>
      <c r="W183" s="366"/>
      <c r="X183" s="368"/>
      <c r="Y183" s="367"/>
      <c r="Z183" s="360"/>
      <c r="AA183" s="365"/>
      <c r="AB183" s="365"/>
      <c r="AC183" s="366"/>
      <c r="AD183" s="366"/>
      <c r="AE183" s="369"/>
      <c r="AF183" s="360"/>
      <c r="AG183" s="366"/>
    </row>
    <row r="184" spans="1:33">
      <c r="A184" s="490" t="s">
        <v>77</v>
      </c>
      <c r="B184" s="466" t="s">
        <v>730</v>
      </c>
      <c r="C184" s="494" t="s">
        <v>743</v>
      </c>
      <c r="D184" s="493">
        <v>162122</v>
      </c>
      <c r="E184" s="495">
        <v>8</v>
      </c>
      <c r="F184" s="571">
        <f t="shared" si="11"/>
        <v>164066</v>
      </c>
      <c r="G184" s="555">
        <f t="shared" si="12"/>
        <v>169607</v>
      </c>
      <c r="H184" s="365">
        <v>112750</v>
      </c>
      <c r="I184" s="366">
        <v>112709</v>
      </c>
      <c r="J184" s="365">
        <v>3789</v>
      </c>
      <c r="K184" s="367">
        <v>4684</v>
      </c>
      <c r="L184" s="360">
        <v>45293</v>
      </c>
      <c r="M184" s="365">
        <v>1342</v>
      </c>
      <c r="N184" s="365">
        <v>892</v>
      </c>
      <c r="O184" s="366">
        <v>50522</v>
      </c>
      <c r="P184" s="366">
        <v>832</v>
      </c>
      <c r="Q184" s="367">
        <v>860</v>
      </c>
      <c r="R184" s="360"/>
      <c r="S184" s="367">
        <v>0</v>
      </c>
      <c r="T184" s="573">
        <f t="shared" si="13"/>
        <v>0</v>
      </c>
      <c r="U184" s="574">
        <f t="shared" si="14"/>
        <v>0</v>
      </c>
      <c r="V184" s="365"/>
      <c r="W184" s="366"/>
      <c r="X184" s="368"/>
      <c r="Y184" s="367"/>
      <c r="Z184" s="360"/>
      <c r="AA184" s="365"/>
      <c r="AB184" s="365"/>
      <c r="AC184" s="366"/>
      <c r="AD184" s="366"/>
      <c r="AE184" s="369"/>
      <c r="AF184" s="360"/>
      <c r="AG184" s="366"/>
    </row>
    <row r="185" spans="1:33">
      <c r="A185" s="490" t="s">
        <v>77</v>
      </c>
      <c r="B185" s="466" t="s">
        <v>724</v>
      </c>
      <c r="C185" s="467"/>
      <c r="D185" s="493">
        <v>434672</v>
      </c>
      <c r="E185" s="447">
        <v>8</v>
      </c>
      <c r="F185" s="571">
        <f t="shared" si="11"/>
        <v>477384</v>
      </c>
      <c r="G185" s="555">
        <f t="shared" si="12"/>
        <v>483407.5</v>
      </c>
      <c r="H185" s="365">
        <v>389931.5</v>
      </c>
      <c r="I185" s="366">
        <v>390798</v>
      </c>
      <c r="J185" s="365">
        <v>34196</v>
      </c>
      <c r="K185" s="367">
        <v>36171.5</v>
      </c>
      <c r="L185" s="360">
        <v>52725.5</v>
      </c>
      <c r="M185" s="365">
        <v>531</v>
      </c>
      <c r="N185" s="365"/>
      <c r="O185" s="366">
        <v>56039</v>
      </c>
      <c r="P185" s="366">
        <v>399</v>
      </c>
      <c r="Q185" s="367">
        <v>0</v>
      </c>
      <c r="R185" s="360"/>
      <c r="S185" s="367">
        <v>0</v>
      </c>
      <c r="T185" s="573">
        <f t="shared" si="13"/>
        <v>0</v>
      </c>
      <c r="U185" s="574">
        <f t="shared" si="14"/>
        <v>0</v>
      </c>
      <c r="V185" s="365"/>
      <c r="W185" s="366"/>
      <c r="X185" s="368"/>
      <c r="Y185" s="367"/>
      <c r="Z185" s="360"/>
      <c r="AA185" s="365"/>
      <c r="AB185" s="365"/>
      <c r="AC185" s="366"/>
      <c r="AD185" s="366"/>
      <c r="AE185" s="369"/>
      <c r="AF185" s="360"/>
      <c r="AG185" s="366"/>
    </row>
    <row r="186" spans="1:33">
      <c r="A186" s="490" t="s">
        <v>77</v>
      </c>
      <c r="B186" s="466" t="s">
        <v>734</v>
      </c>
      <c r="C186" s="494" t="s">
        <v>743</v>
      </c>
      <c r="D186" s="493">
        <v>162779</v>
      </c>
      <c r="E186" s="495">
        <v>8</v>
      </c>
      <c r="F186" s="571">
        <f t="shared" si="11"/>
        <v>177846</v>
      </c>
      <c r="G186" s="555">
        <f t="shared" si="12"/>
        <v>191227</v>
      </c>
      <c r="H186" s="365">
        <v>156256</v>
      </c>
      <c r="I186" s="366">
        <v>165234</v>
      </c>
      <c r="J186" s="365">
        <v>7255</v>
      </c>
      <c r="K186" s="367">
        <v>7512</v>
      </c>
      <c r="L186" s="360">
        <v>13747</v>
      </c>
      <c r="M186" s="365">
        <v>9</v>
      </c>
      <c r="N186" s="365">
        <v>579</v>
      </c>
      <c r="O186" s="366">
        <v>18362</v>
      </c>
      <c r="P186" s="366">
        <v>0</v>
      </c>
      <c r="Q186" s="367">
        <v>119</v>
      </c>
      <c r="R186" s="360"/>
      <c r="S186" s="367">
        <v>0</v>
      </c>
      <c r="T186" s="573">
        <f t="shared" si="13"/>
        <v>0</v>
      </c>
      <c r="U186" s="574">
        <f t="shared" si="14"/>
        <v>0</v>
      </c>
      <c r="V186" s="365"/>
      <c r="W186" s="366"/>
      <c r="X186" s="368"/>
      <c r="Y186" s="367"/>
      <c r="Z186" s="360"/>
      <c r="AA186" s="365"/>
      <c r="AB186" s="365"/>
      <c r="AC186" s="366"/>
      <c r="AD186" s="366"/>
      <c r="AE186" s="369"/>
      <c r="AF186" s="360"/>
      <c r="AG186" s="366"/>
    </row>
    <row r="187" spans="1:33">
      <c r="A187" s="490" t="s">
        <v>77</v>
      </c>
      <c r="B187" s="466" t="s">
        <v>725</v>
      </c>
      <c r="C187" s="467"/>
      <c r="D187" s="493">
        <v>163426</v>
      </c>
      <c r="E187" s="447">
        <v>8</v>
      </c>
      <c r="F187" s="571">
        <f t="shared" si="11"/>
        <v>561477.19999999995</v>
      </c>
      <c r="G187" s="555">
        <f t="shared" si="12"/>
        <v>538774</v>
      </c>
      <c r="H187" s="365">
        <v>506365</v>
      </c>
      <c r="I187" s="366">
        <v>485280</v>
      </c>
      <c r="J187" s="365">
        <v>23862.2</v>
      </c>
      <c r="K187" s="367">
        <v>3237</v>
      </c>
      <c r="L187" s="360">
        <v>31250</v>
      </c>
      <c r="M187" s="365"/>
      <c r="N187" s="365"/>
      <c r="O187" s="366">
        <v>50257</v>
      </c>
      <c r="P187" s="366">
        <v>0</v>
      </c>
      <c r="Q187" s="367">
        <v>0</v>
      </c>
      <c r="R187" s="360"/>
      <c r="S187" s="367">
        <v>0</v>
      </c>
      <c r="T187" s="573">
        <f t="shared" si="13"/>
        <v>0</v>
      </c>
      <c r="U187" s="574">
        <f t="shared" si="14"/>
        <v>0</v>
      </c>
      <c r="V187" s="365"/>
      <c r="W187" s="366"/>
      <c r="X187" s="368"/>
      <c r="Y187" s="367"/>
      <c r="Z187" s="360"/>
      <c r="AA187" s="365"/>
      <c r="AB187" s="365"/>
      <c r="AC187" s="366"/>
      <c r="AD187" s="366"/>
      <c r="AE187" s="369"/>
      <c r="AF187" s="360"/>
      <c r="AG187" s="366"/>
    </row>
    <row r="188" spans="1:33">
      <c r="A188" s="490" t="s">
        <v>77</v>
      </c>
      <c r="B188" s="466" t="s">
        <v>726</v>
      </c>
      <c r="C188" s="467"/>
      <c r="D188" s="493">
        <v>163657</v>
      </c>
      <c r="E188" s="447">
        <v>8</v>
      </c>
      <c r="F188" s="571">
        <f t="shared" si="11"/>
        <v>388272</v>
      </c>
      <c r="G188" s="555">
        <f t="shared" si="12"/>
        <v>391184</v>
      </c>
      <c r="H188" s="365">
        <v>228085</v>
      </c>
      <c r="I188" s="366">
        <v>221513</v>
      </c>
      <c r="J188" s="365">
        <v>121383</v>
      </c>
      <c r="K188" s="367">
        <v>124659</v>
      </c>
      <c r="L188" s="360">
        <v>38804</v>
      </c>
      <c r="M188" s="365"/>
      <c r="N188" s="365"/>
      <c r="O188" s="366">
        <v>45012</v>
      </c>
      <c r="P188" s="366">
        <v>0</v>
      </c>
      <c r="Q188" s="367">
        <v>0</v>
      </c>
      <c r="R188" s="360"/>
      <c r="S188" s="367">
        <v>0</v>
      </c>
      <c r="T188" s="573">
        <f t="shared" si="13"/>
        <v>0</v>
      </c>
      <c r="U188" s="574">
        <f t="shared" si="14"/>
        <v>0</v>
      </c>
      <c r="V188" s="365"/>
      <c r="W188" s="366"/>
      <c r="X188" s="368"/>
      <c r="Y188" s="367"/>
      <c r="Z188" s="360"/>
      <c r="AA188" s="365"/>
      <c r="AB188" s="365"/>
      <c r="AC188" s="366"/>
      <c r="AD188" s="366"/>
      <c r="AE188" s="369"/>
      <c r="AF188" s="360"/>
      <c r="AG188" s="366"/>
    </row>
    <row r="189" spans="1:33">
      <c r="A189" s="491" t="s">
        <v>77</v>
      </c>
      <c r="B189" s="466" t="s">
        <v>727</v>
      </c>
      <c r="C189" s="467"/>
      <c r="D189" s="496">
        <v>161688</v>
      </c>
      <c r="E189" s="497">
        <v>9</v>
      </c>
      <c r="F189" s="571">
        <f t="shared" si="11"/>
        <v>75761</v>
      </c>
      <c r="G189" s="555">
        <f t="shared" si="12"/>
        <v>79998</v>
      </c>
      <c r="H189" s="365">
        <v>55090</v>
      </c>
      <c r="I189" s="366">
        <v>54308</v>
      </c>
      <c r="J189" s="365">
        <v>15078</v>
      </c>
      <c r="K189" s="367">
        <v>13184</v>
      </c>
      <c r="L189" s="360">
        <v>3523</v>
      </c>
      <c r="M189" s="365">
        <v>2070</v>
      </c>
      <c r="N189" s="365"/>
      <c r="O189" s="366">
        <v>10469</v>
      </c>
      <c r="P189" s="366">
        <v>2037</v>
      </c>
      <c r="Q189" s="367">
        <v>0</v>
      </c>
      <c r="R189" s="360"/>
      <c r="S189" s="367">
        <v>0</v>
      </c>
      <c r="T189" s="573">
        <f t="shared" si="13"/>
        <v>0</v>
      </c>
      <c r="U189" s="574">
        <f t="shared" si="14"/>
        <v>0</v>
      </c>
      <c r="V189" s="365"/>
      <c r="W189" s="366"/>
      <c r="X189" s="368"/>
      <c r="Y189" s="367"/>
      <c r="Z189" s="360"/>
      <c r="AA189" s="365"/>
      <c r="AB189" s="365"/>
      <c r="AC189" s="366"/>
      <c r="AD189" s="366"/>
      <c r="AE189" s="369"/>
      <c r="AF189" s="360"/>
      <c r="AG189" s="366"/>
    </row>
    <row r="190" spans="1:33">
      <c r="A190" s="490" t="s">
        <v>77</v>
      </c>
      <c r="B190" s="466" t="s">
        <v>728</v>
      </c>
      <c r="C190" s="467" t="s">
        <v>742</v>
      </c>
      <c r="D190" s="493">
        <v>161864</v>
      </c>
      <c r="E190" s="447">
        <v>9</v>
      </c>
      <c r="F190" s="571">
        <f t="shared" si="11"/>
        <v>147566</v>
      </c>
      <c r="G190" s="555">
        <f t="shared" si="12"/>
        <v>151159</v>
      </c>
      <c r="H190" s="365">
        <v>117477</v>
      </c>
      <c r="I190" s="366">
        <v>119734</v>
      </c>
      <c r="J190" s="365">
        <v>4072</v>
      </c>
      <c r="K190" s="367">
        <v>3374</v>
      </c>
      <c r="L190" s="360">
        <v>26017</v>
      </c>
      <c r="M190" s="365"/>
      <c r="N190" s="365"/>
      <c r="O190" s="366">
        <v>28051</v>
      </c>
      <c r="P190" s="366">
        <v>0</v>
      </c>
      <c r="Q190" s="367">
        <v>0</v>
      </c>
      <c r="R190" s="360"/>
      <c r="S190" s="367">
        <v>0</v>
      </c>
      <c r="T190" s="573">
        <f t="shared" si="13"/>
        <v>0</v>
      </c>
      <c r="U190" s="574">
        <f t="shared" si="14"/>
        <v>0</v>
      </c>
      <c r="V190" s="365"/>
      <c r="W190" s="366"/>
      <c r="X190" s="368"/>
      <c r="Y190" s="367"/>
      <c r="Z190" s="360"/>
      <c r="AA190" s="365"/>
      <c r="AB190" s="365"/>
      <c r="AC190" s="366"/>
      <c r="AD190" s="366"/>
      <c r="AE190" s="369"/>
      <c r="AF190" s="360"/>
      <c r="AG190" s="366"/>
    </row>
    <row r="191" spans="1:33">
      <c r="A191" s="490" t="s">
        <v>77</v>
      </c>
      <c r="B191" s="492" t="s">
        <v>729</v>
      </c>
      <c r="C191" s="498"/>
      <c r="D191" s="499">
        <v>405872</v>
      </c>
      <c r="E191" s="500">
        <v>9</v>
      </c>
      <c r="F191" s="571">
        <f t="shared" si="11"/>
        <v>79864</v>
      </c>
      <c r="G191" s="555">
        <f t="shared" si="12"/>
        <v>81913.5</v>
      </c>
      <c r="H191" s="365">
        <v>71008</v>
      </c>
      <c r="I191" s="366">
        <v>72208.5</v>
      </c>
      <c r="J191" s="365">
        <v>0</v>
      </c>
      <c r="K191" s="367">
        <v>8</v>
      </c>
      <c r="L191" s="360">
        <v>8727</v>
      </c>
      <c r="M191" s="365">
        <v>129</v>
      </c>
      <c r="N191" s="365"/>
      <c r="O191" s="366">
        <v>9568</v>
      </c>
      <c r="P191" s="366">
        <v>129</v>
      </c>
      <c r="Q191" s="367">
        <v>0</v>
      </c>
      <c r="R191" s="360"/>
      <c r="S191" s="367">
        <v>0</v>
      </c>
      <c r="T191" s="573">
        <f t="shared" si="13"/>
        <v>0</v>
      </c>
      <c r="U191" s="574">
        <f t="shared" si="14"/>
        <v>0</v>
      </c>
      <c r="V191" s="365"/>
      <c r="W191" s="366"/>
      <c r="X191" s="368"/>
      <c r="Y191" s="367"/>
      <c r="Z191" s="360"/>
      <c r="AA191" s="365"/>
      <c r="AB191" s="365"/>
      <c r="AC191" s="366"/>
      <c r="AD191" s="366"/>
      <c r="AE191" s="369"/>
      <c r="AF191" s="360"/>
      <c r="AG191" s="366"/>
    </row>
    <row r="192" spans="1:33">
      <c r="A192" s="490" t="s">
        <v>77</v>
      </c>
      <c r="B192" s="466" t="s">
        <v>731</v>
      </c>
      <c r="C192" s="467"/>
      <c r="D192" s="493">
        <v>162557</v>
      </c>
      <c r="E192" s="447">
        <v>9</v>
      </c>
      <c r="F192" s="571">
        <f t="shared" si="11"/>
        <v>122265</v>
      </c>
      <c r="G192" s="555">
        <f t="shared" si="12"/>
        <v>124210</v>
      </c>
      <c r="H192" s="365">
        <v>104884</v>
      </c>
      <c r="I192" s="366">
        <v>105611</v>
      </c>
      <c r="J192" s="365">
        <v>2237</v>
      </c>
      <c r="K192" s="367">
        <v>3061</v>
      </c>
      <c r="L192" s="360">
        <v>15144</v>
      </c>
      <c r="M192" s="365"/>
      <c r="N192" s="365"/>
      <c r="O192" s="366">
        <v>15538</v>
      </c>
      <c r="P192" s="366">
        <v>0</v>
      </c>
      <c r="Q192" s="367">
        <v>0</v>
      </c>
      <c r="R192" s="360"/>
      <c r="S192" s="367">
        <v>0</v>
      </c>
      <c r="T192" s="573">
        <f t="shared" si="13"/>
        <v>0</v>
      </c>
      <c r="U192" s="574">
        <f t="shared" si="14"/>
        <v>0</v>
      </c>
      <c r="V192" s="365"/>
      <c r="W192" s="366"/>
      <c r="X192" s="368"/>
      <c r="Y192" s="367"/>
      <c r="Z192" s="360"/>
      <c r="AA192" s="365"/>
      <c r="AB192" s="365"/>
      <c r="AC192" s="366"/>
      <c r="AD192" s="366"/>
      <c r="AE192" s="369"/>
      <c r="AF192" s="360"/>
      <c r="AG192" s="366"/>
    </row>
    <row r="193" spans="1:33">
      <c r="A193" s="491" t="s">
        <v>77</v>
      </c>
      <c r="B193" s="466" t="s">
        <v>732</v>
      </c>
      <c r="C193" s="467"/>
      <c r="D193" s="496">
        <v>162690</v>
      </c>
      <c r="E193" s="497">
        <v>9</v>
      </c>
      <c r="F193" s="571">
        <f t="shared" si="11"/>
        <v>92895</v>
      </c>
      <c r="G193" s="555">
        <f t="shared" si="12"/>
        <v>95008</v>
      </c>
      <c r="H193" s="365">
        <v>74662</v>
      </c>
      <c r="I193" s="366">
        <v>74544</v>
      </c>
      <c r="J193" s="365">
        <v>5942</v>
      </c>
      <c r="K193" s="367">
        <v>6491</v>
      </c>
      <c r="L193" s="360">
        <v>12039</v>
      </c>
      <c r="M193" s="365"/>
      <c r="N193" s="365">
        <v>147</v>
      </c>
      <c r="O193" s="366">
        <v>13860</v>
      </c>
      <c r="P193" s="366">
        <v>0</v>
      </c>
      <c r="Q193" s="367">
        <v>0</v>
      </c>
      <c r="R193" s="360">
        <v>105</v>
      </c>
      <c r="S193" s="367">
        <v>113</v>
      </c>
      <c r="T193" s="573">
        <f t="shared" si="13"/>
        <v>0</v>
      </c>
      <c r="U193" s="574">
        <f t="shared" si="14"/>
        <v>0</v>
      </c>
      <c r="V193" s="365"/>
      <c r="W193" s="366"/>
      <c r="X193" s="368"/>
      <c r="Y193" s="367"/>
      <c r="Z193" s="360"/>
      <c r="AA193" s="365"/>
      <c r="AB193" s="365"/>
      <c r="AC193" s="366"/>
      <c r="AD193" s="366"/>
      <c r="AE193" s="369"/>
      <c r="AF193" s="360"/>
      <c r="AG193" s="366"/>
    </row>
    <row r="194" spans="1:33">
      <c r="A194" s="490" t="s">
        <v>77</v>
      </c>
      <c r="B194" s="466" t="s">
        <v>733</v>
      </c>
      <c r="C194" s="467"/>
      <c r="D194" s="493">
        <v>162706</v>
      </c>
      <c r="E194" s="447">
        <v>9</v>
      </c>
      <c r="F194" s="571">
        <f t="shared" si="11"/>
        <v>133500.5</v>
      </c>
      <c r="G194" s="555">
        <f t="shared" si="12"/>
        <v>134794</v>
      </c>
      <c r="H194" s="365">
        <v>106584</v>
      </c>
      <c r="I194" s="366">
        <v>103584</v>
      </c>
      <c r="J194" s="365">
        <v>1777</v>
      </c>
      <c r="K194" s="367">
        <v>1907</v>
      </c>
      <c r="L194" s="360">
        <v>25139.5</v>
      </c>
      <c r="M194" s="365"/>
      <c r="N194" s="365"/>
      <c r="O194" s="366">
        <v>29303</v>
      </c>
      <c r="P194" s="366">
        <v>0</v>
      </c>
      <c r="Q194" s="367">
        <v>0</v>
      </c>
      <c r="R194" s="360"/>
      <c r="S194" s="367">
        <v>0</v>
      </c>
      <c r="T194" s="573">
        <f t="shared" si="13"/>
        <v>0</v>
      </c>
      <c r="U194" s="574">
        <f t="shared" si="14"/>
        <v>0</v>
      </c>
      <c r="V194" s="365"/>
      <c r="W194" s="366"/>
      <c r="X194" s="368"/>
      <c r="Y194" s="367"/>
      <c r="Z194" s="360"/>
      <c r="AA194" s="365"/>
      <c r="AB194" s="365"/>
      <c r="AC194" s="366"/>
      <c r="AD194" s="366"/>
      <c r="AE194" s="369"/>
      <c r="AF194" s="360"/>
      <c r="AG194" s="366"/>
    </row>
    <row r="195" spans="1:33">
      <c r="A195" s="490" t="s">
        <v>77</v>
      </c>
      <c r="B195" s="492" t="s">
        <v>735</v>
      </c>
      <c r="C195" s="498"/>
      <c r="D195" s="499">
        <v>164313</v>
      </c>
      <c r="E195" s="500">
        <v>9</v>
      </c>
      <c r="F195" s="571">
        <f t="shared" si="11"/>
        <v>77350</v>
      </c>
      <c r="G195" s="555">
        <f t="shared" si="12"/>
        <v>76900</v>
      </c>
      <c r="H195" s="365">
        <v>67409</v>
      </c>
      <c r="I195" s="366">
        <v>66734</v>
      </c>
      <c r="J195" s="365">
        <v>1211</v>
      </c>
      <c r="K195" s="367">
        <v>1564</v>
      </c>
      <c r="L195" s="360">
        <v>8658</v>
      </c>
      <c r="M195" s="365">
        <v>72</v>
      </c>
      <c r="N195" s="365"/>
      <c r="O195" s="366">
        <v>8503</v>
      </c>
      <c r="P195" s="366">
        <v>99</v>
      </c>
      <c r="Q195" s="367">
        <v>0</v>
      </c>
      <c r="R195" s="360"/>
      <c r="S195" s="367">
        <v>0</v>
      </c>
      <c r="T195" s="573">
        <f t="shared" si="13"/>
        <v>0</v>
      </c>
      <c r="U195" s="574">
        <f t="shared" si="14"/>
        <v>0</v>
      </c>
      <c r="V195" s="365"/>
      <c r="W195" s="366"/>
      <c r="X195" s="368"/>
      <c r="Y195" s="367"/>
      <c r="Z195" s="360"/>
      <c r="AA195" s="365"/>
      <c r="AB195" s="365"/>
      <c r="AC195" s="366"/>
      <c r="AD195" s="366"/>
      <c r="AE195" s="369"/>
      <c r="AF195" s="360"/>
      <c r="AG195" s="366"/>
    </row>
    <row r="196" spans="1:33">
      <c r="A196" s="490" t="s">
        <v>77</v>
      </c>
      <c r="B196" s="466" t="s">
        <v>736</v>
      </c>
      <c r="C196" s="467"/>
      <c r="D196" s="493">
        <v>162104</v>
      </c>
      <c r="E196" s="447">
        <v>10</v>
      </c>
      <c r="F196" s="571">
        <f t="shared" si="11"/>
        <v>48917.5</v>
      </c>
      <c r="G196" s="555">
        <f t="shared" si="12"/>
        <v>49051</v>
      </c>
      <c r="H196" s="365">
        <v>40188.5</v>
      </c>
      <c r="I196" s="366">
        <v>38745</v>
      </c>
      <c r="J196" s="365">
        <v>1130</v>
      </c>
      <c r="K196" s="367">
        <v>665</v>
      </c>
      <c r="L196" s="360">
        <v>7599</v>
      </c>
      <c r="M196" s="365"/>
      <c r="N196" s="365"/>
      <c r="O196" s="366">
        <v>9641</v>
      </c>
      <c r="P196" s="366">
        <v>0</v>
      </c>
      <c r="Q196" s="367">
        <v>0</v>
      </c>
      <c r="R196" s="360"/>
      <c r="S196" s="367">
        <v>0</v>
      </c>
      <c r="T196" s="573">
        <f t="shared" si="13"/>
        <v>0</v>
      </c>
      <c r="U196" s="574">
        <f t="shared" si="14"/>
        <v>0</v>
      </c>
      <c r="V196" s="365"/>
      <c r="W196" s="366"/>
      <c r="X196" s="368"/>
      <c r="Y196" s="367"/>
      <c r="Z196" s="360"/>
      <c r="AA196" s="365"/>
      <c r="AB196" s="365"/>
      <c r="AC196" s="366"/>
      <c r="AD196" s="366"/>
      <c r="AE196" s="369"/>
      <c r="AF196" s="360"/>
      <c r="AG196" s="366"/>
    </row>
    <row r="197" spans="1:33">
      <c r="A197" s="490" t="s">
        <v>77</v>
      </c>
      <c r="B197" s="466" t="s">
        <v>737</v>
      </c>
      <c r="C197" s="467"/>
      <c r="D197" s="493">
        <v>162168</v>
      </c>
      <c r="E197" s="447">
        <v>10</v>
      </c>
      <c r="F197" s="571">
        <f t="shared" si="11"/>
        <v>54337</v>
      </c>
      <c r="G197" s="555">
        <f t="shared" si="12"/>
        <v>52932</v>
      </c>
      <c r="H197" s="365">
        <v>37715</v>
      </c>
      <c r="I197" s="366">
        <v>34103</v>
      </c>
      <c r="J197" s="365">
        <v>9220</v>
      </c>
      <c r="K197" s="367">
        <v>8976</v>
      </c>
      <c r="L197" s="360">
        <v>6329</v>
      </c>
      <c r="M197" s="365">
        <v>1043</v>
      </c>
      <c r="N197" s="365"/>
      <c r="O197" s="366">
        <v>8911</v>
      </c>
      <c r="P197" s="366">
        <v>942</v>
      </c>
      <c r="Q197" s="367">
        <v>0</v>
      </c>
      <c r="R197" s="360">
        <v>30</v>
      </c>
      <c r="S197" s="367">
        <v>0</v>
      </c>
      <c r="T197" s="573">
        <f t="shared" si="13"/>
        <v>0</v>
      </c>
      <c r="U197" s="574">
        <f t="shared" si="14"/>
        <v>0</v>
      </c>
      <c r="V197" s="365"/>
      <c r="W197" s="366"/>
      <c r="X197" s="368"/>
      <c r="Y197" s="367"/>
      <c r="Z197" s="360"/>
      <c r="AA197" s="365"/>
      <c r="AB197" s="365"/>
      <c r="AC197" s="366"/>
      <c r="AD197" s="366"/>
      <c r="AE197" s="369"/>
      <c r="AF197" s="360"/>
      <c r="AG197" s="366"/>
    </row>
    <row r="198" spans="1:33">
      <c r="A198" s="490" t="s">
        <v>77</v>
      </c>
      <c r="B198" s="466" t="s">
        <v>738</v>
      </c>
      <c r="C198" s="467"/>
      <c r="D198" s="493">
        <v>162609</v>
      </c>
      <c r="E198" s="447">
        <v>10</v>
      </c>
      <c r="F198" s="571">
        <f t="shared" si="11"/>
        <v>20422.75</v>
      </c>
      <c r="G198" s="555">
        <f t="shared" si="12"/>
        <v>23845.75</v>
      </c>
      <c r="H198" s="365">
        <v>16790.75</v>
      </c>
      <c r="I198" s="366">
        <v>20284.75</v>
      </c>
      <c r="J198" s="365">
        <v>1276</v>
      </c>
      <c r="K198" s="367">
        <v>837</v>
      </c>
      <c r="L198" s="360">
        <v>2125</v>
      </c>
      <c r="M198" s="365">
        <v>231</v>
      </c>
      <c r="N198" s="365"/>
      <c r="O198" s="366">
        <v>2511</v>
      </c>
      <c r="P198" s="366">
        <v>213</v>
      </c>
      <c r="Q198" s="367">
        <v>0</v>
      </c>
      <c r="R198" s="360"/>
      <c r="S198" s="367">
        <v>0</v>
      </c>
      <c r="T198" s="573">
        <f t="shared" si="13"/>
        <v>0</v>
      </c>
      <c r="U198" s="574">
        <f t="shared" si="14"/>
        <v>0</v>
      </c>
      <c r="V198" s="365"/>
      <c r="W198" s="366"/>
      <c r="X198" s="368"/>
      <c r="Y198" s="367"/>
      <c r="Z198" s="360"/>
      <c r="AA198" s="365"/>
      <c r="AB198" s="365"/>
      <c r="AC198" s="366"/>
      <c r="AD198" s="366"/>
      <c r="AE198" s="369"/>
      <c r="AF198" s="360"/>
      <c r="AG198" s="366"/>
    </row>
    <row r="199" spans="1:33">
      <c r="A199" s="490" t="s">
        <v>77</v>
      </c>
      <c r="B199" s="466" t="s">
        <v>739</v>
      </c>
      <c r="C199" s="467"/>
      <c r="D199" s="465">
        <v>163204</v>
      </c>
      <c r="E199" s="447">
        <v>15</v>
      </c>
      <c r="F199" s="571">
        <f t="shared" si="11"/>
        <v>422643</v>
      </c>
      <c r="G199" s="555">
        <f t="shared" si="12"/>
        <v>467863</v>
      </c>
      <c r="H199" s="365">
        <v>0</v>
      </c>
      <c r="I199" s="366">
        <v>0</v>
      </c>
      <c r="J199" s="365">
        <v>57209</v>
      </c>
      <c r="K199" s="367">
        <v>42577</v>
      </c>
      <c r="L199" s="360">
        <v>365434</v>
      </c>
      <c r="M199" s="365"/>
      <c r="N199" s="365"/>
      <c r="O199" s="366">
        <v>425286</v>
      </c>
      <c r="P199" s="366">
        <v>0</v>
      </c>
      <c r="Q199" s="367">
        <v>0</v>
      </c>
      <c r="R199" s="360"/>
      <c r="S199" s="367">
        <v>0</v>
      </c>
      <c r="T199" s="573">
        <f t="shared" si="13"/>
        <v>173875</v>
      </c>
      <c r="U199" s="574">
        <f t="shared" si="14"/>
        <v>189917</v>
      </c>
      <c r="V199" s="365"/>
      <c r="W199" s="366"/>
      <c r="X199" s="368"/>
      <c r="Y199" s="367"/>
      <c r="Z199" s="360">
        <v>173875</v>
      </c>
      <c r="AA199" s="365"/>
      <c r="AB199" s="365"/>
      <c r="AC199" s="366">
        <v>189917</v>
      </c>
      <c r="AD199" s="366">
        <v>0</v>
      </c>
      <c r="AE199" s="369">
        <v>0</v>
      </c>
      <c r="AF199" s="360"/>
      <c r="AG199" s="366">
        <v>0</v>
      </c>
    </row>
    <row r="200" spans="1:33">
      <c r="A200" s="403" t="s">
        <v>78</v>
      </c>
      <c r="B200" s="404" t="s">
        <v>383</v>
      </c>
      <c r="C200" s="405"/>
      <c r="D200" s="406">
        <v>176080</v>
      </c>
      <c r="E200" s="379">
        <v>1</v>
      </c>
      <c r="F200" s="571">
        <f t="shared" ref="F200:F263" si="15">SUM(H200,J200,L200,M200,N200,R200)</f>
        <v>418441</v>
      </c>
      <c r="G200" s="555">
        <f t="shared" ref="G200:G263" si="16">SUM(I200,K200,O200,P200,Q200,S200)</f>
        <v>442000</v>
      </c>
      <c r="H200" s="365">
        <v>384596</v>
      </c>
      <c r="I200" s="366">
        <v>406119</v>
      </c>
      <c r="J200" s="365">
        <v>11858</v>
      </c>
      <c r="K200" s="367">
        <v>11862</v>
      </c>
      <c r="L200" s="360">
        <v>21750</v>
      </c>
      <c r="M200" s="365">
        <v>159</v>
      </c>
      <c r="N200" s="365">
        <v>78</v>
      </c>
      <c r="O200" s="366">
        <v>23828</v>
      </c>
      <c r="P200" s="366">
        <v>189</v>
      </c>
      <c r="Q200" s="367">
        <v>0</v>
      </c>
      <c r="R200" s="360"/>
      <c r="S200" s="367">
        <v>2</v>
      </c>
      <c r="T200" s="573">
        <f t="shared" ref="T200:T263" si="17">SUM(V200,X200,Z200,AA200,AB200,AF200)</f>
        <v>64561</v>
      </c>
      <c r="U200" s="574">
        <f t="shared" ref="U200:U263" si="18">SUM(W200,Y200,AC200,AD200,AE200,AG200)</f>
        <v>64674</v>
      </c>
      <c r="V200" s="365">
        <v>48053</v>
      </c>
      <c r="W200" s="366">
        <v>46886</v>
      </c>
      <c r="X200" s="368">
        <v>2945</v>
      </c>
      <c r="Y200" s="367">
        <v>2721</v>
      </c>
      <c r="Z200" s="360">
        <v>13172</v>
      </c>
      <c r="AA200" s="365">
        <v>388</v>
      </c>
      <c r="AB200" s="365">
        <v>3</v>
      </c>
      <c r="AC200" s="366">
        <v>14596</v>
      </c>
      <c r="AD200" s="366">
        <v>450</v>
      </c>
      <c r="AE200" s="369">
        <v>21</v>
      </c>
      <c r="AF200" s="360"/>
      <c r="AG200" s="366"/>
    </row>
    <row r="201" spans="1:33">
      <c r="A201" s="403" t="s">
        <v>78</v>
      </c>
      <c r="B201" s="404" t="s">
        <v>384</v>
      </c>
      <c r="C201" s="405"/>
      <c r="D201" s="406">
        <v>176372</v>
      </c>
      <c r="E201" s="379">
        <v>1</v>
      </c>
      <c r="F201" s="571">
        <f t="shared" si="15"/>
        <v>342644</v>
      </c>
      <c r="G201" s="555">
        <f t="shared" si="16"/>
        <v>348323</v>
      </c>
      <c r="H201" s="365">
        <v>271156</v>
      </c>
      <c r="I201" s="366">
        <v>274414</v>
      </c>
      <c r="J201" s="365">
        <v>37295</v>
      </c>
      <c r="K201" s="367">
        <v>38610</v>
      </c>
      <c r="L201" s="360">
        <v>31314</v>
      </c>
      <c r="M201" s="365">
        <v>317</v>
      </c>
      <c r="N201" s="365">
        <v>2562</v>
      </c>
      <c r="O201" s="366">
        <v>34886</v>
      </c>
      <c r="P201" s="366">
        <v>413</v>
      </c>
      <c r="Q201" s="367">
        <v>0</v>
      </c>
      <c r="R201" s="360"/>
      <c r="S201" s="367">
        <v>0</v>
      </c>
      <c r="T201" s="573">
        <f t="shared" si="17"/>
        <v>59544</v>
      </c>
      <c r="U201" s="574">
        <f t="shared" si="18"/>
        <v>58574</v>
      </c>
      <c r="V201" s="365">
        <v>37332</v>
      </c>
      <c r="W201" s="366">
        <v>36161</v>
      </c>
      <c r="X201" s="368">
        <v>5629</v>
      </c>
      <c r="Y201" s="367">
        <v>5089</v>
      </c>
      <c r="Z201" s="360">
        <v>16379</v>
      </c>
      <c r="AA201" s="365">
        <v>201</v>
      </c>
      <c r="AB201" s="365">
        <v>3</v>
      </c>
      <c r="AC201" s="366">
        <v>17161</v>
      </c>
      <c r="AD201" s="366">
        <v>157</v>
      </c>
      <c r="AE201" s="369">
        <v>6</v>
      </c>
      <c r="AF201" s="360"/>
      <c r="AG201" s="366"/>
    </row>
    <row r="202" spans="1:33">
      <c r="A202" s="403" t="s">
        <v>78</v>
      </c>
      <c r="B202" s="404" t="s">
        <v>385</v>
      </c>
      <c r="C202" s="405"/>
      <c r="D202" s="406">
        <v>175856</v>
      </c>
      <c r="E202" s="379">
        <v>2</v>
      </c>
      <c r="F202" s="571">
        <f t="shared" si="15"/>
        <v>162509.5</v>
      </c>
      <c r="G202" s="555">
        <f t="shared" si="16"/>
        <v>171406</v>
      </c>
      <c r="H202" s="365">
        <v>147783.5</v>
      </c>
      <c r="I202" s="366">
        <v>155157</v>
      </c>
      <c r="J202" s="365">
        <v>11221</v>
      </c>
      <c r="K202" s="367">
        <v>7941</v>
      </c>
      <c r="L202" s="360">
        <v>3505</v>
      </c>
      <c r="M202" s="365"/>
      <c r="N202" s="365"/>
      <c r="O202" s="366">
        <v>8308</v>
      </c>
      <c r="P202" s="366"/>
      <c r="Q202" s="367"/>
      <c r="R202" s="360"/>
      <c r="S202" s="367"/>
      <c r="T202" s="573">
        <f t="shared" si="17"/>
        <v>30916.5</v>
      </c>
      <c r="U202" s="574">
        <f t="shared" si="18"/>
        <v>34161</v>
      </c>
      <c r="V202" s="365">
        <v>20721.5</v>
      </c>
      <c r="W202" s="366">
        <v>27375</v>
      </c>
      <c r="X202" s="368">
        <v>9569</v>
      </c>
      <c r="Y202" s="367">
        <v>5704</v>
      </c>
      <c r="Z202" s="360">
        <v>626</v>
      </c>
      <c r="AA202" s="365"/>
      <c r="AB202" s="365"/>
      <c r="AC202" s="366">
        <v>1082</v>
      </c>
      <c r="AD202" s="366"/>
      <c r="AE202" s="369"/>
      <c r="AF202" s="360"/>
      <c r="AG202" s="366"/>
    </row>
    <row r="203" spans="1:33">
      <c r="A203" s="403" t="s">
        <v>78</v>
      </c>
      <c r="B203" s="404" t="s">
        <v>386</v>
      </c>
      <c r="C203" s="405" t="s">
        <v>537</v>
      </c>
      <c r="D203" s="406">
        <v>176017</v>
      </c>
      <c r="E203" s="379">
        <v>2</v>
      </c>
      <c r="F203" s="571">
        <f t="shared" si="15"/>
        <v>414725</v>
      </c>
      <c r="G203" s="555">
        <f t="shared" si="16"/>
        <v>442900</v>
      </c>
      <c r="H203" s="365">
        <v>372564</v>
      </c>
      <c r="I203" s="366">
        <v>398995</v>
      </c>
      <c r="J203" s="365">
        <v>24938</v>
      </c>
      <c r="K203" s="367">
        <v>25715</v>
      </c>
      <c r="L203" s="360">
        <v>8951</v>
      </c>
      <c r="M203" s="365">
        <v>8266</v>
      </c>
      <c r="N203" s="365"/>
      <c r="O203" s="366">
        <v>9905</v>
      </c>
      <c r="P203" s="366">
        <v>8285</v>
      </c>
      <c r="Q203" s="367"/>
      <c r="R203" s="360">
        <v>6</v>
      </c>
      <c r="S203" s="367"/>
      <c r="T203" s="573">
        <f t="shared" si="17"/>
        <v>56846</v>
      </c>
      <c r="U203" s="574">
        <f t="shared" si="18"/>
        <v>58767</v>
      </c>
      <c r="V203" s="365">
        <v>51344</v>
      </c>
      <c r="W203" s="366">
        <v>52323</v>
      </c>
      <c r="X203" s="368">
        <v>2643</v>
      </c>
      <c r="Y203" s="367">
        <v>1863</v>
      </c>
      <c r="Z203" s="360">
        <v>1812</v>
      </c>
      <c r="AA203" s="365">
        <v>1044</v>
      </c>
      <c r="AB203" s="365"/>
      <c r="AC203" s="366">
        <v>2910</v>
      </c>
      <c r="AD203" s="366">
        <v>1671</v>
      </c>
      <c r="AE203" s="369"/>
      <c r="AF203" s="360">
        <v>3</v>
      </c>
      <c r="AG203" s="366"/>
    </row>
    <row r="204" spans="1:33">
      <c r="A204" s="403" t="s">
        <v>78</v>
      </c>
      <c r="B204" s="404" t="s">
        <v>387</v>
      </c>
      <c r="C204" s="405"/>
      <c r="D204" s="406">
        <v>175342</v>
      </c>
      <c r="E204" s="379">
        <v>4</v>
      </c>
      <c r="F204" s="571">
        <f t="shared" si="15"/>
        <v>84461</v>
      </c>
      <c r="G204" s="555">
        <f t="shared" si="16"/>
        <v>94366</v>
      </c>
      <c r="H204" s="365">
        <v>72596</v>
      </c>
      <c r="I204" s="366">
        <v>77881</v>
      </c>
      <c r="J204" s="365"/>
      <c r="K204" s="367"/>
      <c r="L204" s="360">
        <v>11651</v>
      </c>
      <c r="M204" s="365" t="s">
        <v>39</v>
      </c>
      <c r="N204" s="365">
        <v>192</v>
      </c>
      <c r="O204" s="366">
        <v>16381</v>
      </c>
      <c r="P204" s="366"/>
      <c r="Q204" s="367">
        <v>104</v>
      </c>
      <c r="R204" s="360">
        <v>22</v>
      </c>
      <c r="S204" s="367">
        <v>0</v>
      </c>
      <c r="T204" s="573">
        <f t="shared" si="17"/>
        <v>12210</v>
      </c>
      <c r="U204" s="574">
        <f t="shared" si="18"/>
        <v>12887</v>
      </c>
      <c r="V204" s="365">
        <v>7084</v>
      </c>
      <c r="W204" s="366">
        <v>5531</v>
      </c>
      <c r="X204" s="368"/>
      <c r="Y204" s="367"/>
      <c r="Z204" s="360">
        <v>5087</v>
      </c>
      <c r="AA204" s="365"/>
      <c r="AB204" s="365">
        <v>39</v>
      </c>
      <c r="AC204" s="366">
        <v>7346</v>
      </c>
      <c r="AD204" s="366"/>
      <c r="AE204" s="369">
        <v>10</v>
      </c>
      <c r="AF204" s="360"/>
      <c r="AG204" s="366">
        <v>0</v>
      </c>
    </row>
    <row r="205" spans="1:33">
      <c r="A205" s="403" t="s">
        <v>78</v>
      </c>
      <c r="B205" s="404" t="s">
        <v>388</v>
      </c>
      <c r="C205" s="405"/>
      <c r="D205" s="406">
        <v>175616</v>
      </c>
      <c r="E205" s="379">
        <v>4</v>
      </c>
      <c r="F205" s="571">
        <f t="shared" si="15"/>
        <v>77725</v>
      </c>
      <c r="G205" s="555">
        <f t="shared" si="16"/>
        <v>75114</v>
      </c>
      <c r="H205" s="365">
        <v>62670.5</v>
      </c>
      <c r="I205" s="366">
        <v>59051</v>
      </c>
      <c r="J205" s="365">
        <v>2610</v>
      </c>
      <c r="K205" s="367">
        <v>1666</v>
      </c>
      <c r="L205" s="360">
        <v>12435.5</v>
      </c>
      <c r="M205" s="365"/>
      <c r="N205" s="365"/>
      <c r="O205" s="366">
        <v>14388</v>
      </c>
      <c r="P205" s="366"/>
      <c r="Q205" s="367"/>
      <c r="R205" s="360">
        <v>9</v>
      </c>
      <c r="S205" s="367">
        <v>9</v>
      </c>
      <c r="T205" s="573">
        <f t="shared" si="17"/>
        <v>19448</v>
      </c>
      <c r="U205" s="574">
        <f t="shared" si="18"/>
        <v>22851</v>
      </c>
      <c r="V205" s="365">
        <v>10402</v>
      </c>
      <c r="W205" s="366">
        <v>13929</v>
      </c>
      <c r="X205" s="368">
        <v>291</v>
      </c>
      <c r="Y205" s="367">
        <v>324</v>
      </c>
      <c r="Z205" s="360">
        <v>8755</v>
      </c>
      <c r="AA205" s="365"/>
      <c r="AB205" s="365"/>
      <c r="AC205" s="366">
        <v>8598</v>
      </c>
      <c r="AD205" s="366"/>
      <c r="AE205" s="369"/>
      <c r="AF205" s="360"/>
      <c r="AG205" s="366"/>
    </row>
    <row r="206" spans="1:33">
      <c r="A206" s="403" t="s">
        <v>78</v>
      </c>
      <c r="B206" s="404" t="s">
        <v>389</v>
      </c>
      <c r="C206" s="405"/>
      <c r="D206" s="406">
        <v>176044</v>
      </c>
      <c r="E206" s="379">
        <v>4</v>
      </c>
      <c r="F206" s="571">
        <f t="shared" si="15"/>
        <v>66168</v>
      </c>
      <c r="G206" s="555">
        <f t="shared" si="16"/>
        <v>62282</v>
      </c>
      <c r="H206" s="365">
        <v>57652</v>
      </c>
      <c r="I206" s="366">
        <v>51226</v>
      </c>
      <c r="J206" s="365">
        <v>2091</v>
      </c>
      <c r="K206" s="367">
        <v>1338</v>
      </c>
      <c r="L206" s="360">
        <v>5042</v>
      </c>
      <c r="M206" s="365"/>
      <c r="N206" s="365">
        <v>372</v>
      </c>
      <c r="O206" s="366">
        <v>8592</v>
      </c>
      <c r="P206" s="366"/>
      <c r="Q206" s="367">
        <v>301</v>
      </c>
      <c r="R206" s="360">
        <v>1011</v>
      </c>
      <c r="S206" s="367">
        <v>825</v>
      </c>
      <c r="T206" s="573">
        <f t="shared" si="17"/>
        <v>6652</v>
      </c>
      <c r="U206" s="574">
        <f t="shared" si="18"/>
        <v>10419</v>
      </c>
      <c r="V206" s="365">
        <v>5006</v>
      </c>
      <c r="W206" s="366">
        <v>8217</v>
      </c>
      <c r="X206" s="368">
        <v>408</v>
      </c>
      <c r="Y206" s="367">
        <v>138</v>
      </c>
      <c r="Z206" s="360">
        <v>1061</v>
      </c>
      <c r="AA206" s="365"/>
      <c r="AB206" s="365">
        <v>177</v>
      </c>
      <c r="AC206" s="366">
        <v>1860</v>
      </c>
      <c r="AD206" s="366"/>
      <c r="AE206" s="369">
        <v>204</v>
      </c>
      <c r="AF206" s="360"/>
      <c r="AG206" s="366">
        <v>0</v>
      </c>
    </row>
    <row r="207" spans="1:33">
      <c r="A207" s="403" t="s">
        <v>78</v>
      </c>
      <c r="B207" s="404" t="s">
        <v>390</v>
      </c>
      <c r="C207" s="405"/>
      <c r="D207" s="406">
        <v>176035</v>
      </c>
      <c r="E207" s="379">
        <v>5</v>
      </c>
      <c r="F207" s="571">
        <f t="shared" si="15"/>
        <v>63024</v>
      </c>
      <c r="G207" s="555">
        <f t="shared" si="16"/>
        <v>67624</v>
      </c>
      <c r="H207" s="365">
        <v>43855</v>
      </c>
      <c r="I207" s="366">
        <v>39952</v>
      </c>
      <c r="J207" s="365"/>
      <c r="K207" s="367"/>
      <c r="L207" s="360">
        <v>19169</v>
      </c>
      <c r="M207" s="365"/>
      <c r="N207" s="365"/>
      <c r="O207" s="366">
        <v>27672</v>
      </c>
      <c r="P207" s="366"/>
      <c r="Q207" s="367"/>
      <c r="R207" s="360"/>
      <c r="S207" s="367"/>
      <c r="T207" s="573">
        <f t="shared" si="17"/>
        <v>4501</v>
      </c>
      <c r="U207" s="574">
        <f t="shared" si="18"/>
        <v>4260</v>
      </c>
      <c r="V207" s="365">
        <v>2986</v>
      </c>
      <c r="W207" s="366">
        <v>2743</v>
      </c>
      <c r="X207" s="368">
        <v>276</v>
      </c>
      <c r="Y207" s="367">
        <v>328</v>
      </c>
      <c r="Z207" s="360">
        <v>1239</v>
      </c>
      <c r="AA207" s="365"/>
      <c r="AB207" s="365"/>
      <c r="AC207" s="366">
        <v>1189</v>
      </c>
      <c r="AD207" s="366"/>
      <c r="AE207" s="369"/>
      <c r="AF207" s="360"/>
      <c r="AG207" s="366"/>
    </row>
    <row r="208" spans="1:33">
      <c r="A208" s="477" t="s">
        <v>78</v>
      </c>
      <c r="B208" s="478" t="s">
        <v>669</v>
      </c>
      <c r="C208" s="479"/>
      <c r="D208" s="480">
        <v>175786</v>
      </c>
      <c r="E208" s="481">
        <v>8</v>
      </c>
      <c r="F208" s="571">
        <f t="shared" si="15"/>
        <v>340377</v>
      </c>
      <c r="G208" s="555">
        <f t="shared" si="16"/>
        <v>338896</v>
      </c>
      <c r="H208" s="365">
        <v>291407</v>
      </c>
      <c r="I208" s="542">
        <v>287701</v>
      </c>
      <c r="J208" s="365"/>
      <c r="K208" s="367"/>
      <c r="L208" s="360">
        <v>48970</v>
      </c>
      <c r="M208" s="365"/>
      <c r="N208" s="365"/>
      <c r="O208" s="542">
        <v>51195</v>
      </c>
      <c r="P208" s="366"/>
      <c r="Q208" s="367"/>
      <c r="R208" s="360"/>
      <c r="S208" s="367"/>
      <c r="T208" s="573">
        <f t="shared" si="17"/>
        <v>0</v>
      </c>
      <c r="U208" s="574">
        <f t="shared" si="18"/>
        <v>0</v>
      </c>
      <c r="V208" s="365"/>
      <c r="W208" s="366"/>
      <c r="X208" s="368"/>
      <c r="Y208" s="367"/>
      <c r="Z208" s="360"/>
      <c r="AA208" s="365"/>
      <c r="AB208" s="365"/>
      <c r="AC208" s="366"/>
      <c r="AD208" s="366"/>
      <c r="AE208" s="369"/>
      <c r="AF208" s="360"/>
      <c r="AG208" s="366"/>
    </row>
    <row r="209" spans="1:33">
      <c r="A209" s="482" t="s">
        <v>78</v>
      </c>
      <c r="B209" s="478" t="s">
        <v>670</v>
      </c>
      <c r="C209" s="479" t="s">
        <v>684</v>
      </c>
      <c r="D209" s="483">
        <v>175829</v>
      </c>
      <c r="E209" s="484">
        <v>8</v>
      </c>
      <c r="F209" s="571">
        <f t="shared" si="15"/>
        <v>226292</v>
      </c>
      <c r="G209" s="555">
        <f t="shared" si="16"/>
        <v>204086</v>
      </c>
      <c r="H209" s="365">
        <v>138709</v>
      </c>
      <c r="I209" s="542">
        <v>124506</v>
      </c>
      <c r="J209" s="365"/>
      <c r="K209" s="367"/>
      <c r="L209" s="360">
        <v>87583</v>
      </c>
      <c r="M209" s="365"/>
      <c r="N209" s="365"/>
      <c r="O209" s="542">
        <v>79580</v>
      </c>
      <c r="P209" s="366"/>
      <c r="Q209" s="367"/>
      <c r="R209" s="360"/>
      <c r="S209" s="367"/>
      <c r="T209" s="573">
        <f t="shared" si="17"/>
        <v>0</v>
      </c>
      <c r="U209" s="574">
        <f t="shared" si="18"/>
        <v>0</v>
      </c>
      <c r="V209" s="365"/>
      <c r="W209" s="366"/>
      <c r="X209" s="368"/>
      <c r="Y209" s="367"/>
      <c r="Z209" s="360"/>
      <c r="AA209" s="365"/>
      <c r="AB209" s="365"/>
      <c r="AC209" s="366"/>
      <c r="AD209" s="366"/>
      <c r="AE209" s="369"/>
      <c r="AF209" s="360"/>
      <c r="AG209" s="366"/>
    </row>
    <row r="210" spans="1:33">
      <c r="A210" s="482" t="s">
        <v>78</v>
      </c>
      <c r="B210" s="478" t="s">
        <v>671</v>
      </c>
      <c r="C210" s="479" t="s">
        <v>684</v>
      </c>
      <c r="D210" s="483">
        <v>176071</v>
      </c>
      <c r="E210" s="485">
        <v>8</v>
      </c>
      <c r="F210" s="571">
        <f t="shared" si="15"/>
        <v>260228</v>
      </c>
      <c r="G210" s="555">
        <f t="shared" si="16"/>
        <v>254461</v>
      </c>
      <c r="H210" s="365">
        <v>217283</v>
      </c>
      <c r="I210" s="542">
        <v>204991</v>
      </c>
      <c r="J210" s="365"/>
      <c r="K210" s="367"/>
      <c r="L210" s="360">
        <v>42945</v>
      </c>
      <c r="M210" s="365"/>
      <c r="N210" s="365"/>
      <c r="O210" s="542">
        <v>49470</v>
      </c>
      <c r="P210" s="366"/>
      <c r="Q210" s="367"/>
      <c r="R210" s="360"/>
      <c r="S210" s="367"/>
      <c r="T210" s="573">
        <f t="shared" si="17"/>
        <v>0</v>
      </c>
      <c r="U210" s="574">
        <f t="shared" si="18"/>
        <v>0</v>
      </c>
      <c r="V210" s="365"/>
      <c r="W210" s="366"/>
      <c r="X210" s="368"/>
      <c r="Y210" s="367"/>
      <c r="Z210" s="360"/>
      <c r="AA210" s="365"/>
      <c r="AB210" s="365"/>
      <c r="AC210" s="366"/>
      <c r="AD210" s="366"/>
      <c r="AE210" s="369"/>
      <c r="AF210" s="360"/>
      <c r="AG210" s="366"/>
    </row>
    <row r="211" spans="1:33">
      <c r="A211" s="482" t="s">
        <v>78</v>
      </c>
      <c r="B211" s="478" t="s">
        <v>672</v>
      </c>
      <c r="C211" s="479" t="s">
        <v>684</v>
      </c>
      <c r="D211" s="483">
        <v>176178</v>
      </c>
      <c r="E211" s="485">
        <v>8</v>
      </c>
      <c r="F211" s="571">
        <f t="shared" si="15"/>
        <v>219847</v>
      </c>
      <c r="G211" s="555">
        <f t="shared" si="16"/>
        <v>215284</v>
      </c>
      <c r="H211" s="365">
        <v>183910</v>
      </c>
      <c r="I211" s="542">
        <v>178486</v>
      </c>
      <c r="J211" s="365"/>
      <c r="K211" s="367"/>
      <c r="L211" s="360">
        <v>35937</v>
      </c>
      <c r="M211" s="365"/>
      <c r="N211" s="365"/>
      <c r="O211" s="542">
        <v>36798</v>
      </c>
      <c r="P211" s="366"/>
      <c r="Q211" s="367"/>
      <c r="R211" s="360"/>
      <c r="S211" s="367"/>
      <c r="T211" s="573">
        <f t="shared" si="17"/>
        <v>0</v>
      </c>
      <c r="U211" s="574">
        <f t="shared" si="18"/>
        <v>0</v>
      </c>
      <c r="V211" s="365"/>
      <c r="W211" s="366"/>
      <c r="X211" s="368"/>
      <c r="Y211" s="367"/>
      <c r="Z211" s="360"/>
      <c r="AA211" s="365"/>
      <c r="AB211" s="365"/>
      <c r="AC211" s="366"/>
      <c r="AD211" s="366"/>
      <c r="AE211" s="369"/>
      <c r="AF211" s="360"/>
      <c r="AG211" s="366"/>
    </row>
    <row r="212" spans="1:33">
      <c r="A212" s="477" t="s">
        <v>78</v>
      </c>
      <c r="B212" s="478" t="s">
        <v>673</v>
      </c>
      <c r="C212" s="479" t="s">
        <v>685</v>
      </c>
      <c r="D212" s="480">
        <v>175573</v>
      </c>
      <c r="E212" s="481">
        <v>9</v>
      </c>
      <c r="F212" s="571">
        <f t="shared" si="15"/>
        <v>105575</v>
      </c>
      <c r="G212" s="555">
        <f t="shared" si="16"/>
        <v>99639</v>
      </c>
      <c r="H212" s="365">
        <v>85329</v>
      </c>
      <c r="I212" s="542">
        <v>78979</v>
      </c>
      <c r="J212" s="365"/>
      <c r="K212" s="367"/>
      <c r="L212" s="360">
        <v>20246</v>
      </c>
      <c r="M212" s="365"/>
      <c r="N212" s="365"/>
      <c r="O212" s="542">
        <v>20660</v>
      </c>
      <c r="P212" s="366"/>
      <c r="Q212" s="367"/>
      <c r="R212" s="360"/>
      <c r="S212" s="367"/>
      <c r="T212" s="573">
        <f t="shared" si="17"/>
        <v>0</v>
      </c>
      <c r="U212" s="574">
        <f t="shared" si="18"/>
        <v>0</v>
      </c>
      <c r="V212" s="365"/>
      <c r="W212" s="366"/>
      <c r="X212" s="368"/>
      <c r="Y212" s="367"/>
      <c r="Z212" s="360"/>
      <c r="AA212" s="365"/>
      <c r="AB212" s="365"/>
      <c r="AC212" s="366"/>
      <c r="AD212" s="366"/>
      <c r="AE212" s="369"/>
      <c r="AF212" s="360"/>
      <c r="AG212" s="366"/>
    </row>
    <row r="213" spans="1:33">
      <c r="A213" s="482" t="s">
        <v>78</v>
      </c>
      <c r="B213" s="478" t="s">
        <v>674</v>
      </c>
      <c r="C213" s="479" t="s">
        <v>685</v>
      </c>
      <c r="D213" s="483">
        <v>175643</v>
      </c>
      <c r="E213" s="485">
        <v>9</v>
      </c>
      <c r="F213" s="571">
        <f t="shared" si="15"/>
        <v>72447</v>
      </c>
      <c r="G213" s="555">
        <f t="shared" si="16"/>
        <v>70659</v>
      </c>
      <c r="H213" s="365">
        <v>60992</v>
      </c>
      <c r="I213" s="542">
        <v>59097</v>
      </c>
      <c r="J213" s="365"/>
      <c r="K213" s="367"/>
      <c r="L213" s="360">
        <v>11455</v>
      </c>
      <c r="M213" s="365"/>
      <c r="N213" s="365"/>
      <c r="O213" s="542">
        <v>11562</v>
      </c>
      <c r="P213" s="366"/>
      <c r="Q213" s="367"/>
      <c r="R213" s="360"/>
      <c r="S213" s="367"/>
      <c r="T213" s="573">
        <f t="shared" si="17"/>
        <v>0</v>
      </c>
      <c r="U213" s="574">
        <f t="shared" si="18"/>
        <v>0</v>
      </c>
      <c r="V213" s="365"/>
      <c r="W213" s="366"/>
      <c r="X213" s="368"/>
      <c r="Y213" s="367"/>
      <c r="Z213" s="360"/>
      <c r="AA213" s="365"/>
      <c r="AB213" s="365"/>
      <c r="AC213" s="366"/>
      <c r="AD213" s="366"/>
      <c r="AE213" s="369"/>
      <c r="AF213" s="360"/>
      <c r="AG213" s="366"/>
    </row>
    <row r="214" spans="1:33">
      <c r="A214" s="482" t="s">
        <v>78</v>
      </c>
      <c r="B214" s="478" t="s">
        <v>675</v>
      </c>
      <c r="C214" s="479"/>
      <c r="D214" s="483">
        <v>175652</v>
      </c>
      <c r="E214" s="485">
        <v>9</v>
      </c>
      <c r="F214" s="571">
        <f t="shared" si="15"/>
        <v>134386</v>
      </c>
      <c r="G214" s="555">
        <f t="shared" si="16"/>
        <v>129678</v>
      </c>
      <c r="H214" s="365">
        <v>95985</v>
      </c>
      <c r="I214" s="542">
        <v>87110</v>
      </c>
      <c r="J214" s="365"/>
      <c r="K214" s="367"/>
      <c r="L214" s="360">
        <v>38401</v>
      </c>
      <c r="M214" s="365"/>
      <c r="N214" s="365"/>
      <c r="O214" s="542">
        <v>42568</v>
      </c>
      <c r="P214" s="366"/>
      <c r="Q214" s="367"/>
      <c r="R214" s="360"/>
      <c r="S214" s="367"/>
      <c r="T214" s="573">
        <f t="shared" si="17"/>
        <v>0</v>
      </c>
      <c r="U214" s="574">
        <f t="shared" si="18"/>
        <v>0</v>
      </c>
      <c r="V214" s="365"/>
      <c r="W214" s="366"/>
      <c r="X214" s="368"/>
      <c r="Y214" s="367"/>
      <c r="Z214" s="360"/>
      <c r="AA214" s="365"/>
      <c r="AB214" s="365"/>
      <c r="AC214" s="366"/>
      <c r="AD214" s="366"/>
      <c r="AE214" s="369"/>
      <c r="AF214" s="360"/>
      <c r="AG214" s="366"/>
    </row>
    <row r="215" spans="1:33">
      <c r="A215" s="482" t="s">
        <v>78</v>
      </c>
      <c r="B215" s="478" t="s">
        <v>676</v>
      </c>
      <c r="C215" s="479"/>
      <c r="D215" s="483">
        <v>175810</v>
      </c>
      <c r="E215" s="485">
        <v>9</v>
      </c>
      <c r="F215" s="571">
        <f t="shared" si="15"/>
        <v>161641</v>
      </c>
      <c r="G215" s="555">
        <f t="shared" si="16"/>
        <v>164122</v>
      </c>
      <c r="H215" s="365">
        <v>141652</v>
      </c>
      <c r="I215" s="542">
        <v>135843</v>
      </c>
      <c r="J215" s="365"/>
      <c r="K215" s="367"/>
      <c r="L215" s="360">
        <v>19989</v>
      </c>
      <c r="M215" s="365"/>
      <c r="N215" s="365"/>
      <c r="O215" s="542">
        <v>28279</v>
      </c>
      <c r="P215" s="366"/>
      <c r="Q215" s="367"/>
      <c r="R215" s="360"/>
      <c r="S215" s="367"/>
      <c r="T215" s="573">
        <f t="shared" si="17"/>
        <v>0</v>
      </c>
      <c r="U215" s="574">
        <f t="shared" si="18"/>
        <v>0</v>
      </c>
      <c r="V215" s="365"/>
      <c r="W215" s="366"/>
      <c r="X215" s="368"/>
      <c r="Y215" s="367"/>
      <c r="Z215" s="360"/>
      <c r="AA215" s="365"/>
      <c r="AB215" s="365"/>
      <c r="AC215" s="366"/>
      <c r="AD215" s="366"/>
      <c r="AE215" s="369"/>
      <c r="AF215" s="360"/>
      <c r="AG215" s="366"/>
    </row>
    <row r="216" spans="1:33">
      <c r="A216" s="482" t="s">
        <v>78</v>
      </c>
      <c r="B216" s="478" t="s">
        <v>677</v>
      </c>
      <c r="C216" s="479"/>
      <c r="D216" s="483">
        <v>175883</v>
      </c>
      <c r="E216" s="485">
        <v>9</v>
      </c>
      <c r="F216" s="571">
        <f t="shared" si="15"/>
        <v>151640</v>
      </c>
      <c r="G216" s="555">
        <f t="shared" si="16"/>
        <v>139066</v>
      </c>
      <c r="H216" s="365">
        <v>125810</v>
      </c>
      <c r="I216" s="542">
        <v>117067</v>
      </c>
      <c r="J216" s="365"/>
      <c r="K216" s="367"/>
      <c r="L216" s="360">
        <v>25830</v>
      </c>
      <c r="M216" s="365"/>
      <c r="N216" s="365"/>
      <c r="O216" s="542">
        <v>21999</v>
      </c>
      <c r="P216" s="366"/>
      <c r="Q216" s="367"/>
      <c r="R216" s="360"/>
      <c r="S216" s="367"/>
      <c r="T216" s="573">
        <f t="shared" si="17"/>
        <v>0</v>
      </c>
      <c r="U216" s="574">
        <f t="shared" si="18"/>
        <v>0</v>
      </c>
      <c r="V216" s="365"/>
      <c r="W216" s="366"/>
      <c r="X216" s="368"/>
      <c r="Y216" s="367"/>
      <c r="Z216" s="360"/>
      <c r="AA216" s="365"/>
      <c r="AB216" s="365"/>
      <c r="AC216" s="366"/>
      <c r="AD216" s="366"/>
      <c r="AE216" s="369"/>
      <c r="AF216" s="360"/>
      <c r="AG216" s="366"/>
    </row>
    <row r="217" spans="1:33">
      <c r="A217" s="482" t="s">
        <v>78</v>
      </c>
      <c r="B217" s="478" t="s">
        <v>678</v>
      </c>
      <c r="C217" s="479" t="s">
        <v>685</v>
      </c>
      <c r="D217" s="483">
        <v>175935</v>
      </c>
      <c r="E217" s="485">
        <v>9</v>
      </c>
      <c r="F217" s="571">
        <f t="shared" si="15"/>
        <v>102621</v>
      </c>
      <c r="G217" s="555">
        <f t="shared" si="16"/>
        <v>101121.5</v>
      </c>
      <c r="H217" s="365">
        <v>88973</v>
      </c>
      <c r="I217" s="542">
        <v>86567.5</v>
      </c>
      <c r="J217" s="365"/>
      <c r="K217" s="367"/>
      <c r="L217" s="360">
        <v>13648</v>
      </c>
      <c r="M217" s="365"/>
      <c r="N217" s="365"/>
      <c r="O217" s="542">
        <v>14554</v>
      </c>
      <c r="P217" s="366"/>
      <c r="Q217" s="367"/>
      <c r="R217" s="360"/>
      <c r="S217" s="367"/>
      <c r="T217" s="573">
        <f t="shared" si="17"/>
        <v>0</v>
      </c>
      <c r="U217" s="574">
        <f t="shared" si="18"/>
        <v>0</v>
      </c>
      <c r="V217" s="365"/>
      <c r="W217" s="366"/>
      <c r="X217" s="368"/>
      <c r="Y217" s="367"/>
      <c r="Z217" s="360"/>
      <c r="AA217" s="365"/>
      <c r="AB217" s="365"/>
      <c r="AC217" s="366"/>
      <c r="AD217" s="366"/>
      <c r="AE217" s="369"/>
      <c r="AF217" s="360"/>
      <c r="AG217" s="366"/>
    </row>
    <row r="218" spans="1:33">
      <c r="A218" s="482" t="s">
        <v>78</v>
      </c>
      <c r="B218" s="478" t="s">
        <v>679</v>
      </c>
      <c r="C218" s="479" t="s">
        <v>685</v>
      </c>
      <c r="D218" s="483">
        <v>176008</v>
      </c>
      <c r="E218" s="485">
        <v>9</v>
      </c>
      <c r="F218" s="571">
        <f t="shared" si="15"/>
        <v>95578</v>
      </c>
      <c r="G218" s="555">
        <f t="shared" si="16"/>
        <v>88891</v>
      </c>
      <c r="H218" s="365">
        <v>80457</v>
      </c>
      <c r="I218" s="542">
        <v>74233</v>
      </c>
      <c r="J218" s="365"/>
      <c r="K218" s="367"/>
      <c r="L218" s="360">
        <v>15121</v>
      </c>
      <c r="M218" s="365"/>
      <c r="N218" s="365"/>
      <c r="O218" s="542">
        <v>14658</v>
      </c>
      <c r="P218" s="366"/>
      <c r="Q218" s="367"/>
      <c r="R218" s="360"/>
      <c r="S218" s="367"/>
      <c r="T218" s="573">
        <f t="shared" si="17"/>
        <v>0</v>
      </c>
      <c r="U218" s="574">
        <f t="shared" si="18"/>
        <v>0</v>
      </c>
      <c r="V218" s="365"/>
      <c r="W218" s="366"/>
      <c r="X218" s="368"/>
      <c r="Y218" s="367"/>
      <c r="Z218" s="360"/>
      <c r="AA218" s="365"/>
      <c r="AB218" s="365"/>
      <c r="AC218" s="366"/>
      <c r="AD218" s="366"/>
      <c r="AE218" s="369"/>
      <c r="AF218" s="360"/>
      <c r="AG218" s="366"/>
    </row>
    <row r="219" spans="1:33">
      <c r="A219" s="482" t="s">
        <v>78</v>
      </c>
      <c r="B219" s="478" t="s">
        <v>680</v>
      </c>
      <c r="C219" s="479" t="s">
        <v>685</v>
      </c>
      <c r="D219" s="483">
        <v>176169</v>
      </c>
      <c r="E219" s="485">
        <v>9</v>
      </c>
      <c r="F219" s="571">
        <f t="shared" si="15"/>
        <v>98780</v>
      </c>
      <c r="G219" s="555">
        <f t="shared" si="16"/>
        <v>98233</v>
      </c>
      <c r="H219" s="365">
        <v>86696</v>
      </c>
      <c r="I219" s="542">
        <v>82970</v>
      </c>
      <c r="J219" s="365"/>
      <c r="K219" s="367"/>
      <c r="L219" s="360">
        <v>12084</v>
      </c>
      <c r="M219" s="365"/>
      <c r="N219" s="365"/>
      <c r="O219" s="542">
        <v>15263</v>
      </c>
      <c r="P219" s="366"/>
      <c r="Q219" s="367"/>
      <c r="R219" s="360"/>
      <c r="S219" s="367"/>
      <c r="T219" s="573">
        <f t="shared" si="17"/>
        <v>0</v>
      </c>
      <c r="U219" s="574">
        <f t="shared" si="18"/>
        <v>0</v>
      </c>
      <c r="V219" s="365"/>
      <c r="W219" s="366"/>
      <c r="X219" s="368"/>
      <c r="Y219" s="367"/>
      <c r="Z219" s="360"/>
      <c r="AA219" s="365"/>
      <c r="AB219" s="365"/>
      <c r="AC219" s="366"/>
      <c r="AD219" s="366"/>
      <c r="AE219" s="369"/>
      <c r="AF219" s="360"/>
      <c r="AG219" s="366"/>
    </row>
    <row r="220" spans="1:33">
      <c r="A220" s="477" t="s">
        <v>78</v>
      </c>
      <c r="B220" s="478" t="s">
        <v>681</v>
      </c>
      <c r="C220" s="479"/>
      <c r="D220" s="480">
        <v>176239</v>
      </c>
      <c r="E220" s="481">
        <v>9</v>
      </c>
      <c r="F220" s="571">
        <f t="shared" si="15"/>
        <v>129439</v>
      </c>
      <c r="G220" s="555">
        <f t="shared" si="16"/>
        <v>129908</v>
      </c>
      <c r="H220" s="365">
        <v>113535</v>
      </c>
      <c r="I220" s="542">
        <v>110906</v>
      </c>
      <c r="J220" s="365"/>
      <c r="K220" s="367"/>
      <c r="L220" s="360">
        <v>15904</v>
      </c>
      <c r="M220" s="365"/>
      <c r="N220" s="365"/>
      <c r="O220" s="542">
        <v>19002</v>
      </c>
      <c r="P220" s="366"/>
      <c r="Q220" s="367"/>
      <c r="R220" s="360"/>
      <c r="S220" s="367"/>
      <c r="T220" s="573">
        <f t="shared" si="17"/>
        <v>0</v>
      </c>
      <c r="U220" s="574">
        <f t="shared" si="18"/>
        <v>0</v>
      </c>
      <c r="V220" s="365"/>
      <c r="W220" s="366"/>
      <c r="X220" s="368"/>
      <c r="Y220" s="367"/>
      <c r="Z220" s="360"/>
      <c r="AA220" s="365"/>
      <c r="AB220" s="365"/>
      <c r="AC220" s="366"/>
      <c r="AD220" s="366"/>
      <c r="AE220" s="369"/>
      <c r="AF220" s="360"/>
      <c r="AG220" s="366"/>
    </row>
    <row r="221" spans="1:33">
      <c r="A221" s="482" t="s">
        <v>78</v>
      </c>
      <c r="B221" s="478" t="s">
        <v>682</v>
      </c>
      <c r="C221" s="479"/>
      <c r="D221" s="483">
        <v>175519</v>
      </c>
      <c r="E221" s="485">
        <v>10</v>
      </c>
      <c r="F221" s="571">
        <f t="shared" si="15"/>
        <v>63546</v>
      </c>
      <c r="G221" s="555">
        <f t="shared" si="16"/>
        <v>72371</v>
      </c>
      <c r="H221" s="365">
        <v>59568</v>
      </c>
      <c r="I221" s="542">
        <v>66559</v>
      </c>
      <c r="J221" s="365"/>
      <c r="K221" s="367"/>
      <c r="L221" s="360">
        <v>3978</v>
      </c>
      <c r="M221" s="365"/>
      <c r="N221" s="365"/>
      <c r="O221" s="542">
        <v>5812</v>
      </c>
      <c r="P221" s="366"/>
      <c r="Q221" s="367"/>
      <c r="R221" s="360"/>
      <c r="S221" s="367"/>
      <c r="T221" s="573">
        <f t="shared" si="17"/>
        <v>0</v>
      </c>
      <c r="U221" s="574">
        <f t="shared" si="18"/>
        <v>0</v>
      </c>
      <c r="V221" s="365"/>
      <c r="W221" s="366"/>
      <c r="X221" s="368"/>
      <c r="Y221" s="367"/>
      <c r="Z221" s="360"/>
      <c r="AA221" s="365"/>
      <c r="AB221" s="365"/>
      <c r="AC221" s="366"/>
      <c r="AD221" s="366"/>
      <c r="AE221" s="369"/>
      <c r="AF221" s="360"/>
      <c r="AG221" s="366"/>
    </row>
    <row r="222" spans="1:33">
      <c r="A222" s="482" t="s">
        <v>78</v>
      </c>
      <c r="B222" s="478" t="s">
        <v>683</v>
      </c>
      <c r="C222" s="479"/>
      <c r="D222" s="483">
        <v>176354</v>
      </c>
      <c r="E222" s="485">
        <v>10</v>
      </c>
      <c r="F222" s="571">
        <f t="shared" si="15"/>
        <v>56549</v>
      </c>
      <c r="G222" s="555">
        <f t="shared" si="16"/>
        <v>57111</v>
      </c>
      <c r="H222" s="365">
        <v>48821</v>
      </c>
      <c r="I222" s="542">
        <v>47205</v>
      </c>
      <c r="J222" s="365"/>
      <c r="K222" s="367"/>
      <c r="L222" s="360">
        <v>7728</v>
      </c>
      <c r="M222" s="365"/>
      <c r="N222" s="365"/>
      <c r="O222" s="542">
        <v>9906</v>
      </c>
      <c r="P222" s="366"/>
      <c r="Q222" s="367"/>
      <c r="R222" s="360"/>
      <c r="S222" s="367"/>
      <c r="T222" s="573">
        <f t="shared" si="17"/>
        <v>0</v>
      </c>
      <c r="U222" s="574">
        <f t="shared" si="18"/>
        <v>0</v>
      </c>
      <c r="V222" s="365"/>
      <c r="W222" s="366"/>
      <c r="X222" s="368"/>
      <c r="Y222" s="367"/>
      <c r="Z222" s="360"/>
      <c r="AA222" s="365"/>
      <c r="AB222" s="365"/>
      <c r="AC222" s="366"/>
      <c r="AD222" s="366"/>
      <c r="AE222" s="369"/>
      <c r="AF222" s="360"/>
      <c r="AG222" s="366"/>
    </row>
    <row r="223" spans="1:33">
      <c r="A223" s="407" t="s">
        <v>79</v>
      </c>
      <c r="B223" s="408" t="s">
        <v>391</v>
      </c>
      <c r="C223" s="409"/>
      <c r="D223" s="410">
        <v>199193</v>
      </c>
      <c r="E223" s="411">
        <v>1</v>
      </c>
      <c r="F223" s="571">
        <f t="shared" si="15"/>
        <v>725990</v>
      </c>
      <c r="G223" s="555">
        <f t="shared" si="16"/>
        <v>730688</v>
      </c>
      <c r="H223" s="365">
        <v>652424</v>
      </c>
      <c r="I223" s="366">
        <v>651413</v>
      </c>
      <c r="J223" s="365">
        <v>2684</v>
      </c>
      <c r="K223" s="367">
        <v>2287</v>
      </c>
      <c r="L223" s="360">
        <v>70435</v>
      </c>
      <c r="M223" s="365">
        <v>0</v>
      </c>
      <c r="N223" s="365">
        <v>447</v>
      </c>
      <c r="O223" s="366">
        <v>76769</v>
      </c>
      <c r="P223" s="366">
        <v>0</v>
      </c>
      <c r="Q223" s="367">
        <v>219</v>
      </c>
      <c r="R223" s="360"/>
      <c r="S223" s="367"/>
      <c r="T223" s="573">
        <f t="shared" si="17"/>
        <v>134169</v>
      </c>
      <c r="U223" s="574">
        <f t="shared" si="18"/>
        <v>141726</v>
      </c>
      <c r="V223" s="365">
        <v>110680</v>
      </c>
      <c r="W223" s="366">
        <v>115456</v>
      </c>
      <c r="X223" s="368">
        <v>6029</v>
      </c>
      <c r="Y223" s="367">
        <v>5786</v>
      </c>
      <c r="Z223" s="360">
        <v>16980</v>
      </c>
      <c r="AA223" s="365">
        <v>0</v>
      </c>
      <c r="AB223" s="365">
        <v>480</v>
      </c>
      <c r="AC223" s="366">
        <v>20283</v>
      </c>
      <c r="AD223" s="366">
        <v>0</v>
      </c>
      <c r="AE223" s="369">
        <v>201</v>
      </c>
      <c r="AF223" s="360"/>
      <c r="AG223" s="366"/>
    </row>
    <row r="224" spans="1:33">
      <c r="A224" s="407" t="s">
        <v>79</v>
      </c>
      <c r="B224" s="408" t="s">
        <v>392</v>
      </c>
      <c r="C224" s="409"/>
      <c r="D224" s="410">
        <v>199120</v>
      </c>
      <c r="E224" s="411">
        <v>1</v>
      </c>
      <c r="F224" s="571">
        <f t="shared" si="15"/>
        <v>508742</v>
      </c>
      <c r="G224" s="555">
        <f t="shared" si="16"/>
        <v>512048</v>
      </c>
      <c r="H224" s="365">
        <v>493196</v>
      </c>
      <c r="I224" s="366">
        <v>497036</v>
      </c>
      <c r="J224" s="365">
        <v>509</v>
      </c>
      <c r="K224" s="367">
        <v>427</v>
      </c>
      <c r="L224" s="360">
        <v>15037</v>
      </c>
      <c r="M224" s="365">
        <v>0</v>
      </c>
      <c r="N224" s="365">
        <v>0</v>
      </c>
      <c r="O224" s="366">
        <v>14582</v>
      </c>
      <c r="P224" s="366">
        <v>3</v>
      </c>
      <c r="Q224" s="367">
        <v>0</v>
      </c>
      <c r="R224" s="360"/>
      <c r="S224" s="367"/>
      <c r="T224" s="573">
        <f t="shared" si="17"/>
        <v>194086</v>
      </c>
      <c r="U224" s="574">
        <f t="shared" si="18"/>
        <v>187268</v>
      </c>
      <c r="V224" s="365">
        <v>163862</v>
      </c>
      <c r="W224" s="366">
        <v>161566</v>
      </c>
      <c r="X224" s="368">
        <v>15695</v>
      </c>
      <c r="Y224" s="367">
        <v>14426</v>
      </c>
      <c r="Z224" s="360">
        <v>14092</v>
      </c>
      <c r="AA224" s="365">
        <v>437</v>
      </c>
      <c r="AB224" s="365"/>
      <c r="AC224" s="366">
        <v>11177</v>
      </c>
      <c r="AD224" s="366">
        <v>90</v>
      </c>
      <c r="AE224" s="369">
        <v>9</v>
      </c>
      <c r="AF224" s="360"/>
      <c r="AG224" s="366"/>
    </row>
    <row r="225" spans="1:33">
      <c r="A225" s="407" t="s">
        <v>79</v>
      </c>
      <c r="B225" s="408" t="s">
        <v>394</v>
      </c>
      <c r="C225" s="429" t="s">
        <v>538</v>
      </c>
      <c r="D225" s="410">
        <v>199148</v>
      </c>
      <c r="E225" s="430">
        <v>1</v>
      </c>
      <c r="F225" s="571">
        <f t="shared" si="15"/>
        <v>414299</v>
      </c>
      <c r="G225" s="555">
        <f t="shared" si="16"/>
        <v>420880</v>
      </c>
      <c r="H225" s="365">
        <v>350322</v>
      </c>
      <c r="I225" s="366">
        <v>351372</v>
      </c>
      <c r="J225" s="365">
        <v>336</v>
      </c>
      <c r="K225" s="367">
        <v>350</v>
      </c>
      <c r="L225" s="360">
        <v>63569</v>
      </c>
      <c r="M225" s="365">
        <v>72</v>
      </c>
      <c r="N225" s="365">
        <v>0</v>
      </c>
      <c r="O225" s="366">
        <v>69074</v>
      </c>
      <c r="P225" s="366">
        <v>84</v>
      </c>
      <c r="Q225" s="367">
        <v>0</v>
      </c>
      <c r="R225" s="360"/>
      <c r="S225" s="367"/>
      <c r="T225" s="573">
        <f t="shared" si="17"/>
        <v>70539</v>
      </c>
      <c r="U225" s="574">
        <f t="shared" si="18"/>
        <v>71544</v>
      </c>
      <c r="V225" s="365">
        <v>55355</v>
      </c>
      <c r="W225" s="366">
        <v>55256</v>
      </c>
      <c r="X225" s="368">
        <v>2232</v>
      </c>
      <c r="Y225" s="367">
        <v>2850</v>
      </c>
      <c r="Z225" s="360">
        <v>12633</v>
      </c>
      <c r="AA225" s="365">
        <v>319</v>
      </c>
      <c r="AB225" s="365"/>
      <c r="AC225" s="366">
        <v>13159</v>
      </c>
      <c r="AD225" s="366">
        <v>279</v>
      </c>
      <c r="AE225" s="369">
        <v>0</v>
      </c>
      <c r="AF225" s="360"/>
      <c r="AG225" s="366"/>
    </row>
    <row r="226" spans="1:33">
      <c r="A226" s="407" t="s">
        <v>79</v>
      </c>
      <c r="B226" s="408" t="s">
        <v>393</v>
      </c>
      <c r="C226" s="409"/>
      <c r="D226" s="410">
        <v>199139</v>
      </c>
      <c r="E226" s="411">
        <v>2</v>
      </c>
      <c r="F226" s="571">
        <f t="shared" si="15"/>
        <v>550912</v>
      </c>
      <c r="G226" s="555">
        <f t="shared" si="16"/>
        <v>566448</v>
      </c>
      <c r="H226" s="365">
        <v>530225</v>
      </c>
      <c r="I226" s="366">
        <v>543221</v>
      </c>
      <c r="J226" s="365">
        <v>561</v>
      </c>
      <c r="K226" s="367">
        <v>240</v>
      </c>
      <c r="L226" s="360">
        <v>20126</v>
      </c>
      <c r="M226" s="365">
        <v>0</v>
      </c>
      <c r="N226" s="365">
        <v>0</v>
      </c>
      <c r="O226" s="366">
        <v>22975</v>
      </c>
      <c r="P226" s="366">
        <v>12</v>
      </c>
      <c r="Q226" s="367">
        <v>0</v>
      </c>
      <c r="R226" s="360"/>
      <c r="S226" s="367"/>
      <c r="T226" s="573">
        <f t="shared" si="17"/>
        <v>74936</v>
      </c>
      <c r="U226" s="574">
        <f t="shared" si="18"/>
        <v>71816</v>
      </c>
      <c r="V226" s="365">
        <v>61026</v>
      </c>
      <c r="W226" s="366">
        <v>59266</v>
      </c>
      <c r="X226" s="368">
        <v>3771</v>
      </c>
      <c r="Y226" s="367">
        <v>2424</v>
      </c>
      <c r="Z226" s="360">
        <v>10115</v>
      </c>
      <c r="AA226" s="365">
        <v>24</v>
      </c>
      <c r="AB226" s="365"/>
      <c r="AC226" s="366">
        <v>10099</v>
      </c>
      <c r="AD226" s="366">
        <v>27</v>
      </c>
      <c r="AE226" s="369">
        <v>0</v>
      </c>
      <c r="AF226" s="360"/>
      <c r="AG226" s="366"/>
    </row>
    <row r="227" spans="1:33">
      <c r="A227" s="407" t="s">
        <v>79</v>
      </c>
      <c r="B227" s="408" t="s">
        <v>395</v>
      </c>
      <c r="C227" s="409"/>
      <c r="D227" s="410">
        <v>197869</v>
      </c>
      <c r="E227" s="411">
        <v>3</v>
      </c>
      <c r="F227" s="571">
        <f t="shared" si="15"/>
        <v>453030</v>
      </c>
      <c r="G227" s="555">
        <f t="shared" si="16"/>
        <v>465831</v>
      </c>
      <c r="H227" s="365">
        <v>435465</v>
      </c>
      <c r="I227" s="366">
        <v>447444</v>
      </c>
      <c r="J227" s="365">
        <v>9418</v>
      </c>
      <c r="K227" s="367">
        <v>8773</v>
      </c>
      <c r="L227" s="360">
        <v>8147</v>
      </c>
      <c r="M227" s="365">
        <v>0</v>
      </c>
      <c r="N227" s="365">
        <v>0</v>
      </c>
      <c r="O227" s="366">
        <v>9614</v>
      </c>
      <c r="P227" s="366">
        <v>0</v>
      </c>
      <c r="Q227" s="367">
        <v>0</v>
      </c>
      <c r="R227" s="360"/>
      <c r="S227" s="367"/>
      <c r="T227" s="573">
        <f t="shared" si="17"/>
        <v>38084</v>
      </c>
      <c r="U227" s="574">
        <f t="shared" si="18"/>
        <v>37025</v>
      </c>
      <c r="V227" s="365">
        <v>22203</v>
      </c>
      <c r="W227" s="366">
        <v>22532</v>
      </c>
      <c r="X227" s="368">
        <v>11882</v>
      </c>
      <c r="Y227" s="367">
        <v>9215</v>
      </c>
      <c r="Z227" s="360">
        <v>3999</v>
      </c>
      <c r="AA227" s="365">
        <v>0</v>
      </c>
      <c r="AB227" s="365"/>
      <c r="AC227" s="366">
        <v>5278</v>
      </c>
      <c r="AD227" s="366">
        <v>0</v>
      </c>
      <c r="AE227" s="369">
        <v>0</v>
      </c>
      <c r="AF227" s="360"/>
      <c r="AG227" s="366"/>
    </row>
    <row r="228" spans="1:33">
      <c r="A228" s="407" t="s">
        <v>79</v>
      </c>
      <c r="B228" s="408" t="s">
        <v>396</v>
      </c>
      <c r="C228" s="409" t="s">
        <v>376</v>
      </c>
      <c r="D228" s="410">
        <v>198464</v>
      </c>
      <c r="E228" s="411">
        <v>3</v>
      </c>
      <c r="F228" s="571">
        <f t="shared" si="15"/>
        <v>595157</v>
      </c>
      <c r="G228" s="555">
        <f t="shared" si="16"/>
        <v>597340</v>
      </c>
      <c r="H228" s="365">
        <v>504109</v>
      </c>
      <c r="I228" s="366">
        <v>502635</v>
      </c>
      <c r="J228" s="365">
        <v>11952</v>
      </c>
      <c r="K228" s="367">
        <v>7662</v>
      </c>
      <c r="L228" s="360">
        <v>79096</v>
      </c>
      <c r="M228" s="365">
        <v>0</v>
      </c>
      <c r="N228" s="365">
        <v>0</v>
      </c>
      <c r="O228" s="366">
        <v>87043</v>
      </c>
      <c r="P228" s="366">
        <v>0</v>
      </c>
      <c r="Q228" s="367">
        <v>0</v>
      </c>
      <c r="R228" s="360"/>
      <c r="S228" s="367"/>
      <c r="T228" s="573">
        <f t="shared" si="17"/>
        <v>108620</v>
      </c>
      <c r="U228" s="574">
        <f t="shared" si="18"/>
        <v>103726</v>
      </c>
      <c r="V228" s="365">
        <v>55748</v>
      </c>
      <c r="W228" s="366">
        <v>54865</v>
      </c>
      <c r="X228" s="368">
        <v>8351</v>
      </c>
      <c r="Y228" s="367">
        <v>7099</v>
      </c>
      <c r="Z228" s="360">
        <v>44521</v>
      </c>
      <c r="AA228" s="365">
        <v>0</v>
      </c>
      <c r="AB228" s="365"/>
      <c r="AC228" s="366">
        <v>41762</v>
      </c>
      <c r="AD228" s="366">
        <v>0</v>
      </c>
      <c r="AE228" s="369">
        <v>0</v>
      </c>
      <c r="AF228" s="360"/>
      <c r="AG228" s="366"/>
    </row>
    <row r="229" spans="1:33">
      <c r="A229" s="407" t="s">
        <v>79</v>
      </c>
      <c r="B229" s="408" t="s">
        <v>397</v>
      </c>
      <c r="C229" s="409"/>
      <c r="D229" s="410">
        <v>199102</v>
      </c>
      <c r="E229" s="411">
        <v>3</v>
      </c>
      <c r="F229" s="571">
        <f t="shared" si="15"/>
        <v>270371</v>
      </c>
      <c r="G229" s="555">
        <f t="shared" si="16"/>
        <v>269574</v>
      </c>
      <c r="H229" s="365">
        <v>248969</v>
      </c>
      <c r="I229" s="366">
        <v>246539</v>
      </c>
      <c r="J229" s="365">
        <v>2167</v>
      </c>
      <c r="K229" s="367">
        <v>1866</v>
      </c>
      <c r="L229" s="360">
        <v>19235</v>
      </c>
      <c r="M229" s="365">
        <v>0</v>
      </c>
      <c r="N229" s="365">
        <v>0</v>
      </c>
      <c r="O229" s="366">
        <v>21065</v>
      </c>
      <c r="P229" s="366">
        <v>104</v>
      </c>
      <c r="Q229" s="367">
        <v>0</v>
      </c>
      <c r="R229" s="360"/>
      <c r="S229" s="367"/>
      <c r="T229" s="573">
        <f t="shared" si="17"/>
        <v>33492</v>
      </c>
      <c r="U229" s="574">
        <f t="shared" si="18"/>
        <v>32637</v>
      </c>
      <c r="V229" s="365">
        <v>24393</v>
      </c>
      <c r="W229" s="366">
        <v>23326</v>
      </c>
      <c r="X229" s="368">
        <v>1932</v>
      </c>
      <c r="Y229" s="367">
        <v>2553</v>
      </c>
      <c r="Z229" s="360">
        <v>7167</v>
      </c>
      <c r="AA229" s="365">
        <v>0</v>
      </c>
      <c r="AB229" s="365"/>
      <c r="AC229" s="366">
        <v>6758</v>
      </c>
      <c r="AD229" s="366">
        <v>0</v>
      </c>
      <c r="AE229" s="369">
        <v>0</v>
      </c>
      <c r="AF229" s="360"/>
      <c r="AG229" s="366"/>
    </row>
    <row r="230" spans="1:33">
      <c r="A230" s="407" t="s">
        <v>79</v>
      </c>
      <c r="B230" s="408" t="s">
        <v>398</v>
      </c>
      <c r="C230" s="409"/>
      <c r="D230" s="410">
        <v>199157</v>
      </c>
      <c r="E230" s="411">
        <v>3</v>
      </c>
      <c r="F230" s="571">
        <f t="shared" si="15"/>
        <v>192314</v>
      </c>
      <c r="G230" s="555">
        <f t="shared" si="16"/>
        <v>191123</v>
      </c>
      <c r="H230" s="365">
        <v>179702</v>
      </c>
      <c r="I230" s="366">
        <v>170621</v>
      </c>
      <c r="J230" s="365">
        <v>195</v>
      </c>
      <c r="K230" s="367">
        <v>165</v>
      </c>
      <c r="L230" s="360">
        <v>12417</v>
      </c>
      <c r="M230" s="365">
        <v>0</v>
      </c>
      <c r="N230" s="365">
        <v>0</v>
      </c>
      <c r="O230" s="366">
        <v>20337</v>
      </c>
      <c r="P230" s="366">
        <v>0</v>
      </c>
      <c r="Q230" s="367">
        <v>0</v>
      </c>
      <c r="R230" s="360"/>
      <c r="S230" s="367"/>
      <c r="T230" s="573">
        <f t="shared" si="17"/>
        <v>43255</v>
      </c>
      <c r="U230" s="574">
        <f t="shared" si="18"/>
        <v>41457</v>
      </c>
      <c r="V230" s="365">
        <v>34879</v>
      </c>
      <c r="W230" s="366">
        <v>33173</v>
      </c>
      <c r="X230" s="368">
        <v>1433</v>
      </c>
      <c r="Y230" s="367">
        <v>1059</v>
      </c>
      <c r="Z230" s="360">
        <v>6943</v>
      </c>
      <c r="AA230" s="365">
        <v>0</v>
      </c>
      <c r="AB230" s="365"/>
      <c r="AC230" s="366">
        <v>7225</v>
      </c>
      <c r="AD230" s="366">
        <v>0</v>
      </c>
      <c r="AE230" s="369">
        <v>0</v>
      </c>
      <c r="AF230" s="360"/>
      <c r="AG230" s="366"/>
    </row>
    <row r="231" spans="1:33">
      <c r="A231" s="407" t="s">
        <v>79</v>
      </c>
      <c r="B231" s="408" t="s">
        <v>399</v>
      </c>
      <c r="C231" s="409"/>
      <c r="D231" s="410">
        <v>199218</v>
      </c>
      <c r="E231" s="411">
        <v>3</v>
      </c>
      <c r="F231" s="571">
        <f t="shared" si="15"/>
        <v>343061</v>
      </c>
      <c r="G231" s="555">
        <f t="shared" si="16"/>
        <v>349604</v>
      </c>
      <c r="H231" s="365">
        <v>311729</v>
      </c>
      <c r="I231" s="366">
        <v>316370</v>
      </c>
      <c r="J231" s="365">
        <v>4085</v>
      </c>
      <c r="K231" s="367">
        <v>11371</v>
      </c>
      <c r="L231" s="360">
        <v>27157</v>
      </c>
      <c r="M231" s="365">
        <v>90</v>
      </c>
      <c r="N231" s="365">
        <v>0</v>
      </c>
      <c r="O231" s="366">
        <v>21466</v>
      </c>
      <c r="P231" s="366">
        <v>42</v>
      </c>
      <c r="Q231" s="367">
        <v>355</v>
      </c>
      <c r="R231" s="360"/>
      <c r="S231" s="367"/>
      <c r="T231" s="573">
        <f t="shared" si="17"/>
        <v>21548</v>
      </c>
      <c r="U231" s="574">
        <f t="shared" si="18"/>
        <v>20233</v>
      </c>
      <c r="V231" s="365">
        <v>17764</v>
      </c>
      <c r="W231" s="366">
        <v>16250</v>
      </c>
      <c r="X231" s="368">
        <v>441</v>
      </c>
      <c r="Y231" s="367">
        <v>1181</v>
      </c>
      <c r="Z231" s="360">
        <v>3157</v>
      </c>
      <c r="AA231" s="365">
        <v>186</v>
      </c>
      <c r="AB231" s="365"/>
      <c r="AC231" s="366">
        <v>2662</v>
      </c>
      <c r="AD231" s="366">
        <v>105</v>
      </c>
      <c r="AE231" s="369">
        <v>35</v>
      </c>
      <c r="AF231" s="360"/>
      <c r="AG231" s="366"/>
    </row>
    <row r="232" spans="1:33">
      <c r="A232" s="407" t="s">
        <v>79</v>
      </c>
      <c r="B232" s="408" t="s">
        <v>400</v>
      </c>
      <c r="C232" s="409"/>
      <c r="D232" s="410">
        <v>200004</v>
      </c>
      <c r="E232" s="411">
        <v>3</v>
      </c>
      <c r="F232" s="571">
        <f t="shared" si="15"/>
        <v>210642</v>
      </c>
      <c r="G232" s="555">
        <f t="shared" si="16"/>
        <v>215841</v>
      </c>
      <c r="H232" s="365">
        <v>187349</v>
      </c>
      <c r="I232" s="366">
        <v>192524</v>
      </c>
      <c r="J232" s="365">
        <v>4540</v>
      </c>
      <c r="K232" s="367">
        <v>2882</v>
      </c>
      <c r="L232" s="360">
        <v>18597</v>
      </c>
      <c r="M232" s="365">
        <v>156</v>
      </c>
      <c r="N232" s="365">
        <v>0</v>
      </c>
      <c r="O232" s="366">
        <v>20423</v>
      </c>
      <c r="P232" s="366">
        <v>12</v>
      </c>
      <c r="Q232" s="367">
        <v>0</v>
      </c>
      <c r="R232" s="360"/>
      <c r="S232" s="367"/>
      <c r="T232" s="573">
        <f t="shared" si="17"/>
        <v>33816</v>
      </c>
      <c r="U232" s="574">
        <f t="shared" si="18"/>
        <v>31213</v>
      </c>
      <c r="V232" s="365">
        <v>18560</v>
      </c>
      <c r="W232" s="366">
        <v>17721</v>
      </c>
      <c r="X232" s="368">
        <v>860</v>
      </c>
      <c r="Y232" s="367">
        <v>644</v>
      </c>
      <c r="Z232" s="360">
        <v>14066</v>
      </c>
      <c r="AA232" s="365">
        <v>330</v>
      </c>
      <c r="AB232" s="365"/>
      <c r="AC232" s="366">
        <v>12740</v>
      </c>
      <c r="AD232" s="366">
        <v>108</v>
      </c>
      <c r="AE232" s="369">
        <v>0</v>
      </c>
      <c r="AF232" s="360"/>
      <c r="AG232" s="366"/>
    </row>
    <row r="233" spans="1:33">
      <c r="A233" s="407" t="s">
        <v>79</v>
      </c>
      <c r="B233" s="408" t="s">
        <v>401</v>
      </c>
      <c r="C233" s="409"/>
      <c r="D233" s="410">
        <v>198543</v>
      </c>
      <c r="E233" s="411">
        <v>4</v>
      </c>
      <c r="F233" s="571">
        <f t="shared" si="15"/>
        <v>144829</v>
      </c>
      <c r="G233" s="555">
        <f t="shared" si="16"/>
        <v>148382</v>
      </c>
      <c r="H233" s="365">
        <v>119447</v>
      </c>
      <c r="I233" s="366">
        <v>121779</v>
      </c>
      <c r="J233" s="365">
        <v>3310</v>
      </c>
      <c r="K233" s="367">
        <v>2976</v>
      </c>
      <c r="L233" s="360">
        <v>21922</v>
      </c>
      <c r="M233" s="365">
        <v>150</v>
      </c>
      <c r="N233" s="365">
        <v>0</v>
      </c>
      <c r="O233" s="366">
        <v>23525</v>
      </c>
      <c r="P233" s="366">
        <v>99</v>
      </c>
      <c r="Q233" s="367">
        <v>3</v>
      </c>
      <c r="R233" s="360"/>
      <c r="S233" s="367"/>
      <c r="T233" s="573">
        <f t="shared" si="17"/>
        <v>9471</v>
      </c>
      <c r="U233" s="574">
        <f t="shared" si="18"/>
        <v>10848</v>
      </c>
      <c r="V233" s="365">
        <v>5492</v>
      </c>
      <c r="W233" s="366">
        <v>6176</v>
      </c>
      <c r="X233" s="368">
        <v>1681</v>
      </c>
      <c r="Y233" s="367">
        <v>1996</v>
      </c>
      <c r="Z233" s="360">
        <v>2298</v>
      </c>
      <c r="AA233" s="365">
        <v>0</v>
      </c>
      <c r="AB233" s="365"/>
      <c r="AC233" s="366">
        <v>2676</v>
      </c>
      <c r="AD233" s="366">
        <v>0</v>
      </c>
      <c r="AE233" s="369">
        <v>0</v>
      </c>
      <c r="AF233" s="360"/>
      <c r="AG233" s="366"/>
    </row>
    <row r="234" spans="1:33">
      <c r="A234" s="407" t="s">
        <v>79</v>
      </c>
      <c r="B234" s="408" t="s">
        <v>402</v>
      </c>
      <c r="C234" s="409"/>
      <c r="D234" s="410">
        <v>199281</v>
      </c>
      <c r="E234" s="411">
        <v>5</v>
      </c>
      <c r="F234" s="571">
        <f t="shared" si="15"/>
        <v>169136</v>
      </c>
      <c r="G234" s="555">
        <f t="shared" si="16"/>
        <v>158452</v>
      </c>
      <c r="H234" s="365">
        <v>131400</v>
      </c>
      <c r="I234" s="366">
        <v>121438</v>
      </c>
      <c r="J234" s="365">
        <v>4021</v>
      </c>
      <c r="K234" s="367">
        <v>4301</v>
      </c>
      <c r="L234" s="360">
        <v>33015</v>
      </c>
      <c r="M234" s="365">
        <v>700</v>
      </c>
      <c r="N234" s="365">
        <v>0</v>
      </c>
      <c r="O234" s="366">
        <v>32199</v>
      </c>
      <c r="P234" s="366">
        <v>514</v>
      </c>
      <c r="Q234" s="367">
        <v>0</v>
      </c>
      <c r="R234" s="360"/>
      <c r="S234" s="367"/>
      <c r="T234" s="573">
        <f t="shared" si="17"/>
        <v>11092</v>
      </c>
      <c r="U234" s="574">
        <f t="shared" si="18"/>
        <v>11674</v>
      </c>
      <c r="V234" s="365">
        <v>4830</v>
      </c>
      <c r="W234" s="366">
        <v>3950</v>
      </c>
      <c r="X234" s="368">
        <v>859</v>
      </c>
      <c r="Y234" s="367">
        <v>1325</v>
      </c>
      <c r="Z234" s="360">
        <v>5349</v>
      </c>
      <c r="AA234" s="365">
        <v>54</v>
      </c>
      <c r="AB234" s="365"/>
      <c r="AC234" s="366">
        <v>6222</v>
      </c>
      <c r="AD234" s="366">
        <v>177</v>
      </c>
      <c r="AE234" s="369">
        <v>0</v>
      </c>
      <c r="AF234" s="360"/>
      <c r="AG234" s="366"/>
    </row>
    <row r="235" spans="1:33">
      <c r="A235" s="407" t="s">
        <v>79</v>
      </c>
      <c r="B235" s="408" t="s">
        <v>403</v>
      </c>
      <c r="C235" s="409"/>
      <c r="D235" s="410">
        <v>199999</v>
      </c>
      <c r="E235" s="411">
        <v>5</v>
      </c>
      <c r="F235" s="571">
        <f t="shared" si="15"/>
        <v>173712</v>
      </c>
      <c r="G235" s="555">
        <f t="shared" si="16"/>
        <v>170464</v>
      </c>
      <c r="H235" s="365">
        <v>140047</v>
      </c>
      <c r="I235" s="366">
        <v>137482</v>
      </c>
      <c r="J235" s="365">
        <v>15543</v>
      </c>
      <c r="K235" s="367">
        <v>12639</v>
      </c>
      <c r="L235" s="360">
        <v>18122</v>
      </c>
      <c r="M235" s="365">
        <v>0</v>
      </c>
      <c r="N235" s="365">
        <v>0</v>
      </c>
      <c r="O235" s="366">
        <v>20343</v>
      </c>
      <c r="P235" s="366">
        <v>0</v>
      </c>
      <c r="Q235" s="367">
        <v>0</v>
      </c>
      <c r="R235" s="360"/>
      <c r="S235" s="367"/>
      <c r="T235" s="573">
        <f t="shared" si="17"/>
        <v>10784</v>
      </c>
      <c r="U235" s="574">
        <f t="shared" si="18"/>
        <v>11354</v>
      </c>
      <c r="V235" s="365">
        <v>9159</v>
      </c>
      <c r="W235" s="366">
        <v>9579</v>
      </c>
      <c r="X235" s="368">
        <v>483</v>
      </c>
      <c r="Y235" s="367">
        <v>235</v>
      </c>
      <c r="Z235" s="360">
        <v>1058</v>
      </c>
      <c r="AA235" s="365">
        <v>84</v>
      </c>
      <c r="AB235" s="365"/>
      <c r="AC235" s="366">
        <v>1534</v>
      </c>
      <c r="AD235" s="366">
        <v>6</v>
      </c>
      <c r="AE235" s="369">
        <v>0</v>
      </c>
      <c r="AF235" s="360"/>
      <c r="AG235" s="366"/>
    </row>
    <row r="236" spans="1:33">
      <c r="A236" s="407" t="s">
        <v>79</v>
      </c>
      <c r="B236" s="408" t="s">
        <v>404</v>
      </c>
      <c r="C236" s="409"/>
      <c r="D236" s="410">
        <v>198507</v>
      </c>
      <c r="E236" s="411">
        <v>6</v>
      </c>
      <c r="F236" s="571">
        <f t="shared" si="15"/>
        <v>100051</v>
      </c>
      <c r="G236" s="555">
        <f t="shared" si="16"/>
        <v>95275</v>
      </c>
      <c r="H236" s="365">
        <v>83505</v>
      </c>
      <c r="I236" s="366">
        <v>76745</v>
      </c>
      <c r="J236" s="365">
        <v>1500</v>
      </c>
      <c r="K236" s="367">
        <v>1580</v>
      </c>
      <c r="L236" s="360">
        <v>15046</v>
      </c>
      <c r="M236" s="365">
        <v>0</v>
      </c>
      <c r="N236" s="365">
        <v>0</v>
      </c>
      <c r="O236" s="366">
        <v>16950</v>
      </c>
      <c r="P236" s="366">
        <v>0</v>
      </c>
      <c r="Q236" s="367">
        <v>0</v>
      </c>
      <c r="R236" s="360"/>
      <c r="S236" s="367"/>
      <c r="T236" s="573">
        <f t="shared" si="17"/>
        <v>1076</v>
      </c>
      <c r="U236" s="574">
        <f t="shared" si="18"/>
        <v>1530</v>
      </c>
      <c r="V236" s="365">
        <v>629</v>
      </c>
      <c r="W236" s="366">
        <v>815</v>
      </c>
      <c r="X236" s="368">
        <v>82</v>
      </c>
      <c r="Y236" s="367">
        <v>33</v>
      </c>
      <c r="Z236" s="360">
        <v>365</v>
      </c>
      <c r="AA236" s="365">
        <v>0</v>
      </c>
      <c r="AB236" s="365"/>
      <c r="AC236" s="366">
        <v>682</v>
      </c>
      <c r="AD236" s="366">
        <v>0</v>
      </c>
      <c r="AE236" s="369">
        <v>0</v>
      </c>
      <c r="AF236" s="360"/>
      <c r="AG236" s="366"/>
    </row>
    <row r="237" spans="1:33">
      <c r="A237" s="407" t="s">
        <v>79</v>
      </c>
      <c r="B237" s="408" t="s">
        <v>405</v>
      </c>
      <c r="C237" s="409"/>
      <c r="D237" s="410">
        <v>199111</v>
      </c>
      <c r="E237" s="411">
        <v>6</v>
      </c>
      <c r="F237" s="571">
        <f t="shared" si="15"/>
        <v>102465</v>
      </c>
      <c r="G237" s="555">
        <f t="shared" si="16"/>
        <v>101367</v>
      </c>
      <c r="H237" s="365">
        <v>100823</v>
      </c>
      <c r="I237" s="366">
        <v>99229</v>
      </c>
      <c r="J237" s="365">
        <v>1642</v>
      </c>
      <c r="K237" s="367">
        <v>1566</v>
      </c>
      <c r="L237" s="360">
        <v>0</v>
      </c>
      <c r="M237" s="365">
        <v>0</v>
      </c>
      <c r="N237" s="365">
        <v>0</v>
      </c>
      <c r="O237" s="366">
        <v>102</v>
      </c>
      <c r="P237" s="366">
        <v>470</v>
      </c>
      <c r="Q237" s="367">
        <v>0</v>
      </c>
      <c r="R237" s="360"/>
      <c r="S237" s="367"/>
      <c r="T237" s="573">
        <f t="shared" si="17"/>
        <v>443</v>
      </c>
      <c r="U237" s="574">
        <f t="shared" si="18"/>
        <v>542</v>
      </c>
      <c r="V237" s="365">
        <v>398</v>
      </c>
      <c r="W237" s="366">
        <v>479</v>
      </c>
      <c r="X237" s="368">
        <v>45</v>
      </c>
      <c r="Y237" s="367">
        <v>63</v>
      </c>
      <c r="Z237" s="360">
        <v>0</v>
      </c>
      <c r="AA237" s="365">
        <v>0</v>
      </c>
      <c r="AB237" s="365"/>
      <c r="AC237" s="366">
        <v>0</v>
      </c>
      <c r="AD237" s="366">
        <v>0</v>
      </c>
      <c r="AE237" s="369">
        <v>0</v>
      </c>
      <c r="AF237" s="360"/>
      <c r="AG237" s="366"/>
    </row>
    <row r="238" spans="1:33">
      <c r="A238" s="433" t="s">
        <v>79</v>
      </c>
      <c r="B238" s="434" t="s">
        <v>548</v>
      </c>
      <c r="C238" s="435"/>
      <c r="D238" s="436">
        <v>197887</v>
      </c>
      <c r="E238" s="437">
        <v>8</v>
      </c>
      <c r="F238" s="571">
        <f t="shared" si="15"/>
        <v>159416</v>
      </c>
      <c r="G238" s="555">
        <f t="shared" si="16"/>
        <v>168292</v>
      </c>
      <c r="H238" s="380">
        <v>124856</v>
      </c>
      <c r="I238" s="381">
        <v>110114</v>
      </c>
      <c r="J238" s="380">
        <v>10150</v>
      </c>
      <c r="K238" s="382">
        <v>9320</v>
      </c>
      <c r="L238" s="380">
        <v>24410</v>
      </c>
      <c r="M238" s="380">
        <v>0</v>
      </c>
      <c r="N238" s="380">
        <v>0</v>
      </c>
      <c r="O238" s="381">
        <v>48858</v>
      </c>
      <c r="P238" s="381">
        <v>0</v>
      </c>
      <c r="Q238" s="382">
        <v>0</v>
      </c>
      <c r="R238" s="360"/>
      <c r="S238" s="367"/>
      <c r="T238" s="573">
        <f t="shared" si="17"/>
        <v>0</v>
      </c>
      <c r="U238" s="574">
        <f t="shared" si="18"/>
        <v>0</v>
      </c>
      <c r="V238" s="365"/>
      <c r="W238" s="366"/>
      <c r="X238" s="368"/>
      <c r="Y238" s="367"/>
      <c r="Z238" s="360"/>
      <c r="AA238" s="365"/>
      <c r="AB238" s="365"/>
      <c r="AC238" s="366"/>
      <c r="AD238" s="366"/>
      <c r="AE238" s="369"/>
      <c r="AF238" s="360"/>
      <c r="AG238" s="366"/>
    </row>
    <row r="239" spans="1:33">
      <c r="A239" s="433" t="s">
        <v>79</v>
      </c>
      <c r="B239" s="434" t="s">
        <v>549</v>
      </c>
      <c r="C239" s="435"/>
      <c r="D239" s="436">
        <v>198154</v>
      </c>
      <c r="E239" s="437">
        <v>8</v>
      </c>
      <c r="F239" s="571">
        <f t="shared" si="15"/>
        <v>212549</v>
      </c>
      <c r="G239" s="555">
        <f t="shared" si="16"/>
        <v>218565</v>
      </c>
      <c r="H239" s="380">
        <v>175771</v>
      </c>
      <c r="I239" s="381">
        <v>156583</v>
      </c>
      <c r="J239" s="380">
        <v>3277</v>
      </c>
      <c r="K239" s="382">
        <v>2755</v>
      </c>
      <c r="L239" s="380">
        <v>33501</v>
      </c>
      <c r="M239" s="380">
        <v>0</v>
      </c>
      <c r="N239" s="380">
        <v>0</v>
      </c>
      <c r="O239" s="381">
        <v>59227</v>
      </c>
      <c r="P239" s="381">
        <v>0</v>
      </c>
      <c r="Q239" s="382">
        <v>0</v>
      </c>
      <c r="R239" s="360"/>
      <c r="S239" s="367"/>
      <c r="T239" s="573">
        <f t="shared" si="17"/>
        <v>0</v>
      </c>
      <c r="U239" s="574">
        <f t="shared" si="18"/>
        <v>0</v>
      </c>
      <c r="V239" s="365"/>
      <c r="W239" s="366"/>
      <c r="X239" s="368"/>
      <c r="Y239" s="367"/>
      <c r="Z239" s="360"/>
      <c r="AA239" s="365"/>
      <c r="AB239" s="365"/>
      <c r="AC239" s="366"/>
      <c r="AD239" s="366"/>
      <c r="AE239" s="369"/>
      <c r="AF239" s="360"/>
      <c r="AG239" s="366"/>
    </row>
    <row r="240" spans="1:33">
      <c r="A240" s="433" t="s">
        <v>79</v>
      </c>
      <c r="B240" s="434" t="s">
        <v>550</v>
      </c>
      <c r="C240" s="435"/>
      <c r="D240" s="436">
        <v>198260</v>
      </c>
      <c r="E240" s="437">
        <v>8</v>
      </c>
      <c r="F240" s="571">
        <f t="shared" si="15"/>
        <v>409543</v>
      </c>
      <c r="G240" s="555">
        <f t="shared" si="16"/>
        <v>422728</v>
      </c>
      <c r="H240" s="380">
        <v>302706</v>
      </c>
      <c r="I240" s="381">
        <v>299626</v>
      </c>
      <c r="J240" s="380">
        <v>15033</v>
      </c>
      <c r="K240" s="382">
        <v>2879</v>
      </c>
      <c r="L240" s="380">
        <v>87274</v>
      </c>
      <c r="M240" s="380">
        <v>0</v>
      </c>
      <c r="N240" s="380">
        <v>4530</v>
      </c>
      <c r="O240" s="381">
        <v>116007</v>
      </c>
      <c r="P240" s="381">
        <v>0</v>
      </c>
      <c r="Q240" s="382">
        <v>4216</v>
      </c>
      <c r="R240" s="360"/>
      <c r="S240" s="367"/>
      <c r="T240" s="573">
        <f t="shared" si="17"/>
        <v>0</v>
      </c>
      <c r="U240" s="574">
        <f t="shared" si="18"/>
        <v>0</v>
      </c>
      <c r="V240" s="365"/>
      <c r="W240" s="366"/>
      <c r="X240" s="368"/>
      <c r="Y240" s="367"/>
      <c r="Z240" s="360"/>
      <c r="AA240" s="365"/>
      <c r="AB240" s="365"/>
      <c r="AC240" s="366"/>
      <c r="AD240" s="366"/>
      <c r="AE240" s="369"/>
      <c r="AF240" s="360"/>
      <c r="AG240" s="366"/>
    </row>
    <row r="241" spans="1:33">
      <c r="A241" s="433" t="s">
        <v>79</v>
      </c>
      <c r="B241" s="434" t="s">
        <v>551</v>
      </c>
      <c r="C241" s="435"/>
      <c r="D241" s="436">
        <v>198534</v>
      </c>
      <c r="E241" s="437">
        <v>8</v>
      </c>
      <c r="F241" s="571">
        <f t="shared" si="15"/>
        <v>242342</v>
      </c>
      <c r="G241" s="555">
        <f t="shared" si="16"/>
        <v>238322</v>
      </c>
      <c r="H241" s="380">
        <v>151556</v>
      </c>
      <c r="I241" s="381">
        <v>139964</v>
      </c>
      <c r="J241" s="380">
        <v>5748</v>
      </c>
      <c r="K241" s="382">
        <v>4393</v>
      </c>
      <c r="L241" s="380">
        <v>83874</v>
      </c>
      <c r="M241" s="380">
        <v>1164</v>
      </c>
      <c r="N241" s="380">
        <v>0</v>
      </c>
      <c r="O241" s="381">
        <v>92827</v>
      </c>
      <c r="P241" s="381">
        <v>1138</v>
      </c>
      <c r="Q241" s="382">
        <v>0</v>
      </c>
      <c r="R241" s="360"/>
      <c r="S241" s="367"/>
      <c r="T241" s="573">
        <f t="shared" si="17"/>
        <v>0</v>
      </c>
      <c r="U241" s="574">
        <f t="shared" si="18"/>
        <v>0</v>
      </c>
      <c r="V241" s="365"/>
      <c r="W241" s="366"/>
      <c r="X241" s="368"/>
      <c r="Y241" s="367"/>
      <c r="Z241" s="360"/>
      <c r="AA241" s="365"/>
      <c r="AB241" s="365"/>
      <c r="AC241" s="366"/>
      <c r="AD241" s="366"/>
      <c r="AE241" s="369"/>
      <c r="AF241" s="360"/>
      <c r="AG241" s="366"/>
    </row>
    <row r="242" spans="1:33">
      <c r="A242" s="433" t="s">
        <v>79</v>
      </c>
      <c r="B242" s="434" t="s">
        <v>552</v>
      </c>
      <c r="C242" s="435"/>
      <c r="D242" s="436">
        <v>198552</v>
      </c>
      <c r="E242" s="437">
        <v>8</v>
      </c>
      <c r="F242" s="571">
        <f t="shared" si="15"/>
        <v>215071</v>
      </c>
      <c r="G242" s="555">
        <f t="shared" si="16"/>
        <v>224439</v>
      </c>
      <c r="H242" s="380">
        <v>150541</v>
      </c>
      <c r="I242" s="381">
        <v>138959</v>
      </c>
      <c r="J242" s="380">
        <v>12413</v>
      </c>
      <c r="K242" s="382">
        <v>12256</v>
      </c>
      <c r="L242" s="380">
        <v>50600</v>
      </c>
      <c r="M242" s="380">
        <v>1517</v>
      </c>
      <c r="N242" s="380">
        <v>0</v>
      </c>
      <c r="O242" s="381">
        <v>72493</v>
      </c>
      <c r="P242" s="381">
        <v>731</v>
      </c>
      <c r="Q242" s="382">
        <v>0</v>
      </c>
      <c r="R242" s="360"/>
      <c r="S242" s="367"/>
      <c r="T242" s="573">
        <f t="shared" si="17"/>
        <v>0</v>
      </c>
      <c r="U242" s="574">
        <f t="shared" si="18"/>
        <v>0</v>
      </c>
      <c r="V242" s="365"/>
      <c r="W242" s="366"/>
      <c r="X242" s="368"/>
      <c r="Y242" s="367"/>
      <c r="Z242" s="360"/>
      <c r="AA242" s="365"/>
      <c r="AB242" s="365"/>
      <c r="AC242" s="366"/>
      <c r="AD242" s="366"/>
      <c r="AE242" s="369"/>
      <c r="AF242" s="360"/>
      <c r="AG242" s="366"/>
    </row>
    <row r="243" spans="1:33">
      <c r="A243" s="433" t="s">
        <v>79</v>
      </c>
      <c r="B243" s="434" t="s">
        <v>553</v>
      </c>
      <c r="C243" s="435" t="s">
        <v>612</v>
      </c>
      <c r="D243" s="436">
        <v>198570</v>
      </c>
      <c r="E243" s="438">
        <v>8</v>
      </c>
      <c r="F243" s="571">
        <f t="shared" si="15"/>
        <v>151327</v>
      </c>
      <c r="G243" s="555">
        <f t="shared" si="16"/>
        <v>139553</v>
      </c>
      <c r="H243" s="380">
        <v>110795</v>
      </c>
      <c r="I243" s="381">
        <v>89820</v>
      </c>
      <c r="J243" s="380">
        <v>5218</v>
      </c>
      <c r="K243" s="382">
        <v>4600</v>
      </c>
      <c r="L243" s="380">
        <v>34114</v>
      </c>
      <c r="M243" s="380">
        <v>1200</v>
      </c>
      <c r="N243" s="380">
        <v>0</v>
      </c>
      <c r="O243" s="381">
        <v>44287</v>
      </c>
      <c r="P243" s="381">
        <v>846</v>
      </c>
      <c r="Q243" s="382">
        <v>0</v>
      </c>
      <c r="R243" s="360"/>
      <c r="S243" s="367"/>
      <c r="T243" s="573">
        <f t="shared" si="17"/>
        <v>0</v>
      </c>
      <c r="U243" s="574">
        <f t="shared" si="18"/>
        <v>0</v>
      </c>
      <c r="V243" s="365"/>
      <c r="W243" s="366"/>
      <c r="X243" s="368"/>
      <c r="Y243" s="367"/>
      <c r="Z243" s="360"/>
      <c r="AA243" s="365"/>
      <c r="AB243" s="365"/>
      <c r="AC243" s="366"/>
      <c r="AD243" s="366"/>
      <c r="AE243" s="369"/>
      <c r="AF243" s="360"/>
      <c r="AG243" s="366"/>
    </row>
    <row r="244" spans="1:33">
      <c r="A244" s="433" t="s">
        <v>79</v>
      </c>
      <c r="B244" s="434" t="s">
        <v>554</v>
      </c>
      <c r="C244" s="435"/>
      <c r="D244" s="436">
        <v>198622</v>
      </c>
      <c r="E244" s="437">
        <v>8</v>
      </c>
      <c r="F244" s="571">
        <f t="shared" si="15"/>
        <v>333447</v>
      </c>
      <c r="G244" s="555">
        <f t="shared" si="16"/>
        <v>357323</v>
      </c>
      <c r="H244" s="380">
        <v>282592</v>
      </c>
      <c r="I244" s="381">
        <v>234950</v>
      </c>
      <c r="J244" s="380">
        <v>2805</v>
      </c>
      <c r="K244" s="382">
        <v>2744</v>
      </c>
      <c r="L244" s="380">
        <v>48050</v>
      </c>
      <c r="M244" s="380">
        <v>0</v>
      </c>
      <c r="N244" s="380">
        <v>0</v>
      </c>
      <c r="O244" s="381">
        <v>119629</v>
      </c>
      <c r="P244" s="381">
        <v>0</v>
      </c>
      <c r="Q244" s="382">
        <v>0</v>
      </c>
      <c r="R244" s="360"/>
      <c r="S244" s="367"/>
      <c r="T244" s="573">
        <f t="shared" si="17"/>
        <v>0</v>
      </c>
      <c r="U244" s="574">
        <f t="shared" si="18"/>
        <v>0</v>
      </c>
      <c r="V244" s="365"/>
      <c r="W244" s="366"/>
      <c r="X244" s="368"/>
      <c r="Y244" s="367"/>
      <c r="Z244" s="360"/>
      <c r="AA244" s="365"/>
      <c r="AB244" s="365"/>
      <c r="AC244" s="366"/>
      <c r="AD244" s="366"/>
      <c r="AE244" s="369"/>
      <c r="AF244" s="360"/>
      <c r="AG244" s="366"/>
    </row>
    <row r="245" spans="1:33">
      <c r="A245" s="433" t="s">
        <v>79</v>
      </c>
      <c r="B245" s="434" t="s">
        <v>555</v>
      </c>
      <c r="C245" s="435"/>
      <c r="D245" s="436">
        <v>199333</v>
      </c>
      <c r="E245" s="437">
        <v>8</v>
      </c>
      <c r="F245" s="571">
        <f t="shared" si="15"/>
        <v>188059</v>
      </c>
      <c r="G245" s="555">
        <f t="shared" si="16"/>
        <v>198801</v>
      </c>
      <c r="H245" s="380">
        <v>136184</v>
      </c>
      <c r="I245" s="381">
        <v>120569</v>
      </c>
      <c r="J245" s="380">
        <v>8983</v>
      </c>
      <c r="K245" s="382">
        <v>8948</v>
      </c>
      <c r="L245" s="380">
        <v>42892</v>
      </c>
      <c r="M245" s="380">
        <v>0</v>
      </c>
      <c r="N245" s="380">
        <v>0</v>
      </c>
      <c r="O245" s="381">
        <v>69284</v>
      </c>
      <c r="P245" s="381">
        <v>0</v>
      </c>
      <c r="Q245" s="382">
        <v>0</v>
      </c>
      <c r="R245" s="360"/>
      <c r="S245" s="367"/>
      <c r="T245" s="573">
        <f t="shared" si="17"/>
        <v>0</v>
      </c>
      <c r="U245" s="574">
        <f t="shared" si="18"/>
        <v>0</v>
      </c>
      <c r="V245" s="365"/>
      <c r="W245" s="366"/>
      <c r="X245" s="368"/>
      <c r="Y245" s="367"/>
      <c r="Z245" s="360"/>
      <c r="AA245" s="365"/>
      <c r="AB245" s="365"/>
      <c r="AC245" s="366"/>
      <c r="AD245" s="366"/>
      <c r="AE245" s="369"/>
      <c r="AF245" s="360"/>
      <c r="AG245" s="366"/>
    </row>
    <row r="246" spans="1:33">
      <c r="A246" s="439" t="s">
        <v>79</v>
      </c>
      <c r="B246" s="440" t="s">
        <v>556</v>
      </c>
      <c r="C246" s="435"/>
      <c r="D246" s="441">
        <v>199494</v>
      </c>
      <c r="E246" s="442">
        <v>8</v>
      </c>
      <c r="F246" s="571">
        <f t="shared" si="15"/>
        <v>166263</v>
      </c>
      <c r="G246" s="555">
        <f t="shared" si="16"/>
        <v>161032</v>
      </c>
      <c r="H246" s="380">
        <v>132266</v>
      </c>
      <c r="I246" s="381">
        <v>119812</v>
      </c>
      <c r="J246" s="380">
        <v>3687</v>
      </c>
      <c r="K246" s="382">
        <v>4957</v>
      </c>
      <c r="L246" s="380">
        <v>27427</v>
      </c>
      <c r="M246" s="380">
        <v>756</v>
      </c>
      <c r="N246" s="380">
        <v>2127</v>
      </c>
      <c r="O246" s="381">
        <v>35129</v>
      </c>
      <c r="P246" s="381">
        <v>0</v>
      </c>
      <c r="Q246" s="382">
        <v>1134</v>
      </c>
      <c r="R246" s="360"/>
      <c r="S246" s="367"/>
      <c r="T246" s="573">
        <f t="shared" si="17"/>
        <v>0</v>
      </c>
      <c r="U246" s="574">
        <f t="shared" si="18"/>
        <v>0</v>
      </c>
      <c r="V246" s="365"/>
      <c r="W246" s="366"/>
      <c r="X246" s="368"/>
      <c r="Y246" s="367"/>
      <c r="Z246" s="360"/>
      <c r="AA246" s="365"/>
      <c r="AB246" s="365"/>
      <c r="AC246" s="366"/>
      <c r="AD246" s="366"/>
      <c r="AE246" s="369"/>
      <c r="AF246" s="360"/>
      <c r="AG246" s="366"/>
    </row>
    <row r="247" spans="1:33">
      <c r="A247" s="433" t="s">
        <v>79</v>
      </c>
      <c r="B247" s="434" t="s">
        <v>557</v>
      </c>
      <c r="C247" s="435"/>
      <c r="D247" s="436">
        <v>199856</v>
      </c>
      <c r="E247" s="437">
        <v>8</v>
      </c>
      <c r="F247" s="571">
        <f t="shared" si="15"/>
        <v>348159</v>
      </c>
      <c r="G247" s="555">
        <f t="shared" si="16"/>
        <v>382605</v>
      </c>
      <c r="H247" s="380">
        <v>269320</v>
      </c>
      <c r="I247" s="381">
        <v>272150</v>
      </c>
      <c r="J247" s="380">
        <v>6433</v>
      </c>
      <c r="K247" s="382">
        <v>5318</v>
      </c>
      <c r="L247" s="380">
        <v>72406</v>
      </c>
      <c r="M247" s="380">
        <v>0</v>
      </c>
      <c r="N247" s="380">
        <v>0</v>
      </c>
      <c r="O247" s="381">
        <v>105032</v>
      </c>
      <c r="P247" s="381">
        <v>105</v>
      </c>
      <c r="Q247" s="382">
        <v>0</v>
      </c>
      <c r="R247" s="360"/>
      <c r="S247" s="367"/>
      <c r="T247" s="573">
        <f t="shared" si="17"/>
        <v>0</v>
      </c>
      <c r="U247" s="574">
        <f t="shared" si="18"/>
        <v>0</v>
      </c>
      <c r="V247" s="365"/>
      <c r="W247" s="366"/>
      <c r="X247" s="368"/>
      <c r="Y247" s="367"/>
      <c r="Z247" s="360"/>
      <c r="AA247" s="365"/>
      <c r="AB247" s="365"/>
      <c r="AC247" s="366"/>
      <c r="AD247" s="366"/>
      <c r="AE247" s="369"/>
      <c r="AF247" s="360"/>
      <c r="AG247" s="366"/>
    </row>
    <row r="248" spans="1:33">
      <c r="A248" s="433" t="s">
        <v>79</v>
      </c>
      <c r="B248" s="434" t="s">
        <v>558</v>
      </c>
      <c r="C248" s="435"/>
      <c r="D248" s="436">
        <v>199786</v>
      </c>
      <c r="E248" s="437">
        <v>9</v>
      </c>
      <c r="F248" s="571">
        <f t="shared" si="15"/>
        <v>117494</v>
      </c>
      <c r="G248" s="555">
        <f t="shared" si="16"/>
        <v>112301</v>
      </c>
      <c r="H248" s="380">
        <v>99284</v>
      </c>
      <c r="I248" s="381">
        <v>87417</v>
      </c>
      <c r="J248" s="380">
        <v>5672</v>
      </c>
      <c r="K248" s="382">
        <v>5115</v>
      </c>
      <c r="L248" s="380">
        <v>12538</v>
      </c>
      <c r="M248" s="380">
        <v>0</v>
      </c>
      <c r="N248" s="380">
        <v>0</v>
      </c>
      <c r="O248" s="381">
        <v>19769</v>
      </c>
      <c r="P248" s="381">
        <v>0</v>
      </c>
      <c r="Q248" s="382">
        <v>0</v>
      </c>
      <c r="R248" s="360"/>
      <c r="S248" s="367"/>
      <c r="T248" s="573">
        <f t="shared" si="17"/>
        <v>0</v>
      </c>
      <c r="U248" s="574">
        <f t="shared" si="18"/>
        <v>0</v>
      </c>
      <c r="V248" s="365"/>
      <c r="W248" s="366"/>
      <c r="X248" s="368"/>
      <c r="Y248" s="367"/>
      <c r="Z248" s="360"/>
      <c r="AA248" s="365"/>
      <c r="AB248" s="365"/>
      <c r="AC248" s="366"/>
      <c r="AD248" s="366"/>
      <c r="AE248" s="369"/>
      <c r="AF248" s="360"/>
      <c r="AG248" s="366"/>
    </row>
    <row r="249" spans="1:33">
      <c r="A249" s="433" t="s">
        <v>79</v>
      </c>
      <c r="B249" s="434" t="s">
        <v>559</v>
      </c>
      <c r="C249" s="435"/>
      <c r="D249" s="436">
        <v>198118</v>
      </c>
      <c r="E249" s="437">
        <v>9</v>
      </c>
      <c r="F249" s="571">
        <f t="shared" si="15"/>
        <v>107584</v>
      </c>
      <c r="G249" s="555">
        <f t="shared" si="16"/>
        <v>106665</v>
      </c>
      <c r="H249" s="380">
        <v>79669</v>
      </c>
      <c r="I249" s="381">
        <v>62627</v>
      </c>
      <c r="J249" s="380">
        <v>7532</v>
      </c>
      <c r="K249" s="382">
        <v>5073</v>
      </c>
      <c r="L249" s="380">
        <v>16853</v>
      </c>
      <c r="M249" s="380">
        <v>3205</v>
      </c>
      <c r="N249" s="380">
        <v>325</v>
      </c>
      <c r="O249" s="381">
        <v>34199</v>
      </c>
      <c r="P249" s="381">
        <v>4685</v>
      </c>
      <c r="Q249" s="382">
        <v>81</v>
      </c>
      <c r="R249" s="360"/>
      <c r="S249" s="367"/>
      <c r="T249" s="573">
        <f t="shared" si="17"/>
        <v>0</v>
      </c>
      <c r="U249" s="574">
        <f t="shared" si="18"/>
        <v>0</v>
      </c>
      <c r="V249" s="365"/>
      <c r="W249" s="366"/>
      <c r="X249" s="368"/>
      <c r="Y249" s="367"/>
      <c r="Z249" s="360"/>
      <c r="AA249" s="365"/>
      <c r="AB249" s="365"/>
      <c r="AC249" s="366"/>
      <c r="AD249" s="366"/>
      <c r="AE249" s="369"/>
      <c r="AF249" s="360"/>
      <c r="AG249" s="366"/>
    </row>
    <row r="250" spans="1:33">
      <c r="A250" s="433" t="s">
        <v>79</v>
      </c>
      <c r="B250" s="434" t="s">
        <v>560</v>
      </c>
      <c r="C250" s="435"/>
      <c r="D250" s="436">
        <v>198233</v>
      </c>
      <c r="E250" s="438">
        <v>9</v>
      </c>
      <c r="F250" s="571">
        <f t="shared" si="15"/>
        <v>125873</v>
      </c>
      <c r="G250" s="555">
        <f t="shared" si="16"/>
        <v>118488</v>
      </c>
      <c r="H250" s="380">
        <v>92143</v>
      </c>
      <c r="I250" s="381">
        <v>74240</v>
      </c>
      <c r="J250" s="380">
        <v>4186</v>
      </c>
      <c r="K250" s="382">
        <v>3252</v>
      </c>
      <c r="L250" s="380">
        <v>28694</v>
      </c>
      <c r="M250" s="380">
        <v>123</v>
      </c>
      <c r="N250" s="380">
        <v>727</v>
      </c>
      <c r="O250" s="381">
        <v>40117</v>
      </c>
      <c r="P250" s="381">
        <v>0</v>
      </c>
      <c r="Q250" s="382">
        <v>879</v>
      </c>
      <c r="R250" s="360"/>
      <c r="S250" s="367"/>
      <c r="T250" s="573">
        <f t="shared" si="17"/>
        <v>0</v>
      </c>
      <c r="U250" s="574">
        <f t="shared" si="18"/>
        <v>0</v>
      </c>
      <c r="V250" s="365"/>
      <c r="W250" s="366"/>
      <c r="X250" s="368"/>
      <c r="Y250" s="367"/>
      <c r="Z250" s="360"/>
      <c r="AA250" s="365"/>
      <c r="AB250" s="365"/>
      <c r="AC250" s="366"/>
      <c r="AD250" s="366"/>
      <c r="AE250" s="369"/>
      <c r="AF250" s="360"/>
      <c r="AG250" s="366"/>
    </row>
    <row r="251" spans="1:33">
      <c r="A251" s="433" t="s">
        <v>79</v>
      </c>
      <c r="B251" s="434" t="s">
        <v>561</v>
      </c>
      <c r="C251" s="435"/>
      <c r="D251" s="436">
        <v>198251</v>
      </c>
      <c r="E251" s="438">
        <v>9</v>
      </c>
      <c r="F251" s="571">
        <f t="shared" si="15"/>
        <v>104167</v>
      </c>
      <c r="G251" s="555">
        <f t="shared" si="16"/>
        <v>96500</v>
      </c>
      <c r="H251" s="380">
        <v>65438</v>
      </c>
      <c r="I251" s="381">
        <v>55626</v>
      </c>
      <c r="J251" s="380">
        <v>10252</v>
      </c>
      <c r="K251" s="382">
        <v>7243</v>
      </c>
      <c r="L251" s="380">
        <v>27852</v>
      </c>
      <c r="M251" s="380">
        <v>0</v>
      </c>
      <c r="N251" s="380">
        <v>625</v>
      </c>
      <c r="O251" s="381">
        <v>33631</v>
      </c>
      <c r="P251" s="381">
        <v>0</v>
      </c>
      <c r="Q251" s="382">
        <v>0</v>
      </c>
      <c r="R251" s="360"/>
      <c r="S251" s="367"/>
      <c r="T251" s="573">
        <f t="shared" si="17"/>
        <v>0</v>
      </c>
      <c r="U251" s="574">
        <f t="shared" si="18"/>
        <v>0</v>
      </c>
      <c r="V251" s="365"/>
      <c r="W251" s="366"/>
      <c r="X251" s="368"/>
      <c r="Y251" s="367"/>
      <c r="Z251" s="360"/>
      <c r="AA251" s="365"/>
      <c r="AB251" s="365"/>
      <c r="AC251" s="366"/>
      <c r="AD251" s="366"/>
      <c r="AE251" s="369"/>
      <c r="AF251" s="360"/>
      <c r="AG251" s="366"/>
    </row>
    <row r="252" spans="1:33">
      <c r="A252" s="433" t="s">
        <v>79</v>
      </c>
      <c r="B252" s="434" t="s">
        <v>562</v>
      </c>
      <c r="C252" s="435"/>
      <c r="D252" s="436">
        <v>198321</v>
      </c>
      <c r="E252" s="437">
        <v>9</v>
      </c>
      <c r="F252" s="571">
        <f t="shared" si="15"/>
        <v>93159</v>
      </c>
      <c r="G252" s="555">
        <f t="shared" si="16"/>
        <v>78197</v>
      </c>
      <c r="H252" s="380">
        <v>60360</v>
      </c>
      <c r="I252" s="381">
        <v>41524</v>
      </c>
      <c r="J252" s="380">
        <v>11099</v>
      </c>
      <c r="K252" s="382">
        <v>6675</v>
      </c>
      <c r="L252" s="380">
        <v>21445</v>
      </c>
      <c r="M252" s="380">
        <v>225</v>
      </c>
      <c r="N252" s="380">
        <v>30</v>
      </c>
      <c r="O252" s="381">
        <v>29868</v>
      </c>
      <c r="P252" s="381">
        <v>130</v>
      </c>
      <c r="Q252" s="382">
        <v>0</v>
      </c>
      <c r="R252" s="360"/>
      <c r="S252" s="367"/>
      <c r="T252" s="573">
        <f t="shared" si="17"/>
        <v>0</v>
      </c>
      <c r="U252" s="574">
        <f t="shared" si="18"/>
        <v>0</v>
      </c>
      <c r="V252" s="365"/>
      <c r="W252" s="366"/>
      <c r="X252" s="368"/>
      <c r="Y252" s="367"/>
      <c r="Z252" s="360"/>
      <c r="AA252" s="365"/>
      <c r="AB252" s="365"/>
      <c r="AC252" s="366"/>
      <c r="AD252" s="366"/>
      <c r="AE252" s="369"/>
      <c r="AF252" s="360"/>
      <c r="AG252" s="366"/>
    </row>
    <row r="253" spans="1:33">
      <c r="A253" s="433" t="s">
        <v>79</v>
      </c>
      <c r="B253" s="443" t="s">
        <v>563</v>
      </c>
      <c r="C253" s="435"/>
      <c r="D253" s="436">
        <v>198330</v>
      </c>
      <c r="E253" s="437">
        <v>9</v>
      </c>
      <c r="F253" s="571">
        <f t="shared" si="15"/>
        <v>115927</v>
      </c>
      <c r="G253" s="555">
        <f t="shared" si="16"/>
        <v>109745</v>
      </c>
      <c r="H253" s="380">
        <v>80478</v>
      </c>
      <c r="I253" s="381">
        <v>75833</v>
      </c>
      <c r="J253" s="380">
        <v>10109</v>
      </c>
      <c r="K253" s="382">
        <v>8990</v>
      </c>
      <c r="L253" s="380">
        <v>25340</v>
      </c>
      <c r="M253" s="380">
        <v>0</v>
      </c>
      <c r="N253" s="380">
        <v>0</v>
      </c>
      <c r="O253" s="381">
        <v>24922</v>
      </c>
      <c r="P253" s="381">
        <v>0</v>
      </c>
      <c r="Q253" s="382">
        <v>0</v>
      </c>
      <c r="R253" s="360"/>
      <c r="S253" s="367"/>
      <c r="T253" s="573">
        <f t="shared" si="17"/>
        <v>0</v>
      </c>
      <c r="U253" s="574">
        <f t="shared" si="18"/>
        <v>0</v>
      </c>
      <c r="V253" s="365"/>
      <c r="W253" s="366"/>
      <c r="X253" s="368"/>
      <c r="Y253" s="367"/>
      <c r="Z253" s="360"/>
      <c r="AA253" s="365"/>
      <c r="AB253" s="365"/>
      <c r="AC253" s="366"/>
      <c r="AD253" s="366"/>
      <c r="AE253" s="369"/>
      <c r="AF253" s="360"/>
      <c r="AG253" s="366"/>
    </row>
    <row r="254" spans="1:33">
      <c r="A254" s="433" t="s">
        <v>79</v>
      </c>
      <c r="B254" s="434" t="s">
        <v>564</v>
      </c>
      <c r="C254" s="435"/>
      <c r="D254" s="436">
        <v>198367</v>
      </c>
      <c r="E254" s="437">
        <v>9</v>
      </c>
      <c r="F254" s="571">
        <f t="shared" si="15"/>
        <v>78830</v>
      </c>
      <c r="G254" s="555">
        <f t="shared" si="16"/>
        <v>78714</v>
      </c>
      <c r="H254" s="380">
        <v>51547</v>
      </c>
      <c r="I254" s="381">
        <v>43141</v>
      </c>
      <c r="J254" s="380">
        <v>704</v>
      </c>
      <c r="K254" s="382">
        <v>886</v>
      </c>
      <c r="L254" s="380">
        <v>25751</v>
      </c>
      <c r="M254" s="380">
        <v>0</v>
      </c>
      <c r="N254" s="380">
        <v>828</v>
      </c>
      <c r="O254" s="381">
        <v>34585</v>
      </c>
      <c r="P254" s="381">
        <v>0</v>
      </c>
      <c r="Q254" s="382">
        <v>102</v>
      </c>
      <c r="R254" s="360"/>
      <c r="S254" s="367"/>
      <c r="T254" s="573">
        <f t="shared" si="17"/>
        <v>0</v>
      </c>
      <c r="U254" s="574">
        <f t="shared" si="18"/>
        <v>0</v>
      </c>
      <c r="V254" s="365"/>
      <c r="W254" s="366"/>
      <c r="X254" s="368"/>
      <c r="Y254" s="367"/>
      <c r="Z254" s="360"/>
      <c r="AA254" s="365"/>
      <c r="AB254" s="365"/>
      <c r="AC254" s="366"/>
      <c r="AD254" s="366"/>
      <c r="AE254" s="369"/>
      <c r="AF254" s="360"/>
      <c r="AG254" s="366"/>
    </row>
    <row r="255" spans="1:33">
      <c r="A255" s="433" t="s">
        <v>79</v>
      </c>
      <c r="B255" s="434" t="s">
        <v>565</v>
      </c>
      <c r="C255" s="435"/>
      <c r="D255" s="436">
        <v>198376</v>
      </c>
      <c r="E255" s="437">
        <v>9</v>
      </c>
      <c r="F255" s="571">
        <f t="shared" si="15"/>
        <v>96011</v>
      </c>
      <c r="G255" s="555">
        <f t="shared" si="16"/>
        <v>97150</v>
      </c>
      <c r="H255" s="380">
        <v>72398</v>
      </c>
      <c r="I255" s="381">
        <v>41428</v>
      </c>
      <c r="J255" s="380">
        <v>22</v>
      </c>
      <c r="K255" s="382">
        <v>38</v>
      </c>
      <c r="L255" s="380">
        <v>22204</v>
      </c>
      <c r="M255" s="380">
        <v>1387</v>
      </c>
      <c r="N255" s="380">
        <v>0</v>
      </c>
      <c r="O255" s="381">
        <v>54518</v>
      </c>
      <c r="P255" s="381">
        <v>1166</v>
      </c>
      <c r="Q255" s="382">
        <v>0</v>
      </c>
      <c r="R255" s="360"/>
      <c r="S255" s="367"/>
      <c r="T255" s="573">
        <f t="shared" si="17"/>
        <v>0</v>
      </c>
      <c r="U255" s="574">
        <f t="shared" si="18"/>
        <v>0</v>
      </c>
      <c r="V255" s="365"/>
      <c r="W255" s="366"/>
      <c r="X255" s="368"/>
      <c r="Y255" s="367"/>
      <c r="Z255" s="360"/>
      <c r="AA255" s="365"/>
      <c r="AB255" s="365"/>
      <c r="AC255" s="366"/>
      <c r="AD255" s="366"/>
      <c r="AE255" s="369"/>
      <c r="AF255" s="360"/>
      <c r="AG255" s="366"/>
    </row>
    <row r="256" spans="1:33">
      <c r="A256" s="439" t="s">
        <v>79</v>
      </c>
      <c r="B256" s="434" t="s">
        <v>566</v>
      </c>
      <c r="C256" s="435"/>
      <c r="D256" s="441">
        <v>198455</v>
      </c>
      <c r="E256" s="438">
        <v>9</v>
      </c>
      <c r="F256" s="571">
        <f t="shared" si="15"/>
        <v>105294</v>
      </c>
      <c r="G256" s="555">
        <f t="shared" si="16"/>
        <v>105233</v>
      </c>
      <c r="H256" s="380">
        <v>88388</v>
      </c>
      <c r="I256" s="381">
        <v>82479</v>
      </c>
      <c r="J256" s="380">
        <v>3297</v>
      </c>
      <c r="K256" s="382">
        <v>2056</v>
      </c>
      <c r="L256" s="380">
        <v>13609</v>
      </c>
      <c r="M256" s="380">
        <v>0</v>
      </c>
      <c r="N256" s="380">
        <v>0</v>
      </c>
      <c r="O256" s="381">
        <v>20698</v>
      </c>
      <c r="P256" s="381">
        <v>0</v>
      </c>
      <c r="Q256" s="382">
        <v>0</v>
      </c>
      <c r="R256" s="365"/>
      <c r="S256" s="367"/>
      <c r="T256" s="573">
        <f t="shared" si="17"/>
        <v>0</v>
      </c>
      <c r="U256" s="574">
        <f t="shared" si="18"/>
        <v>0</v>
      </c>
      <c r="V256" s="365"/>
      <c r="W256" s="366"/>
      <c r="X256" s="368"/>
      <c r="Y256" s="367"/>
      <c r="Z256" s="360"/>
      <c r="AA256" s="365"/>
      <c r="AB256" s="365"/>
      <c r="AC256" s="366"/>
      <c r="AD256" s="366"/>
      <c r="AE256" s="369"/>
      <c r="AF256" s="360"/>
      <c r="AG256" s="366"/>
    </row>
    <row r="257" spans="1:33">
      <c r="A257" s="433" t="s">
        <v>79</v>
      </c>
      <c r="B257" s="434" t="s">
        <v>567</v>
      </c>
      <c r="C257" s="435"/>
      <c r="D257" s="436">
        <v>198491</v>
      </c>
      <c r="E257" s="437">
        <v>9</v>
      </c>
      <c r="F257" s="571">
        <f t="shared" si="15"/>
        <v>75491</v>
      </c>
      <c r="G257" s="555">
        <f t="shared" si="16"/>
        <v>73933</v>
      </c>
      <c r="H257" s="380">
        <v>52105</v>
      </c>
      <c r="I257" s="381">
        <v>42766</v>
      </c>
      <c r="J257" s="380">
        <v>1891</v>
      </c>
      <c r="K257" s="382">
        <v>1681</v>
      </c>
      <c r="L257" s="380">
        <v>21495</v>
      </c>
      <c r="M257" s="380">
        <v>0</v>
      </c>
      <c r="N257" s="380">
        <v>0</v>
      </c>
      <c r="O257" s="381">
        <v>29486</v>
      </c>
      <c r="P257" s="381">
        <v>0</v>
      </c>
      <c r="Q257" s="382">
        <v>0</v>
      </c>
      <c r="R257" s="365"/>
      <c r="S257" s="367"/>
      <c r="T257" s="573">
        <f t="shared" si="17"/>
        <v>0</v>
      </c>
      <c r="U257" s="574">
        <f t="shared" si="18"/>
        <v>0</v>
      </c>
      <c r="V257" s="365"/>
      <c r="W257" s="366"/>
      <c r="X257" s="368"/>
      <c r="Y257" s="367"/>
      <c r="Z257" s="360"/>
      <c r="AA257" s="365"/>
      <c r="AB257" s="365"/>
      <c r="AC257" s="366"/>
      <c r="AD257" s="366"/>
      <c r="AE257" s="369"/>
      <c r="AF257" s="360"/>
      <c r="AG257" s="366"/>
    </row>
    <row r="258" spans="1:33">
      <c r="A258" s="433" t="s">
        <v>79</v>
      </c>
      <c r="B258" s="434" t="s">
        <v>568</v>
      </c>
      <c r="C258" s="435" t="s">
        <v>611</v>
      </c>
      <c r="D258" s="436">
        <v>198668</v>
      </c>
      <c r="E258" s="437">
        <v>9</v>
      </c>
      <c r="F258" s="571">
        <f t="shared" si="15"/>
        <v>49510</v>
      </c>
      <c r="G258" s="555">
        <f t="shared" si="16"/>
        <v>48368</v>
      </c>
      <c r="H258" s="380">
        <v>29794</v>
      </c>
      <c r="I258" s="381">
        <v>24779</v>
      </c>
      <c r="J258" s="380">
        <v>2345</v>
      </c>
      <c r="K258" s="382">
        <v>2496</v>
      </c>
      <c r="L258" s="380">
        <v>17263</v>
      </c>
      <c r="M258" s="380">
        <v>108</v>
      </c>
      <c r="N258" s="380">
        <v>0</v>
      </c>
      <c r="O258" s="381">
        <v>21042</v>
      </c>
      <c r="P258" s="381">
        <v>51</v>
      </c>
      <c r="Q258" s="382">
        <v>0</v>
      </c>
      <c r="R258" s="365"/>
      <c r="S258" s="367"/>
      <c r="T258" s="573">
        <f t="shared" si="17"/>
        <v>0</v>
      </c>
      <c r="U258" s="574">
        <f t="shared" si="18"/>
        <v>0</v>
      </c>
      <c r="V258" s="365"/>
      <c r="W258" s="366"/>
      <c r="X258" s="368"/>
      <c r="Y258" s="367"/>
      <c r="Z258" s="360"/>
      <c r="AA258" s="365"/>
      <c r="AB258" s="365"/>
      <c r="AC258" s="366"/>
      <c r="AD258" s="366"/>
      <c r="AE258" s="369"/>
      <c r="AF258" s="360"/>
      <c r="AG258" s="366"/>
    </row>
    <row r="259" spans="1:33">
      <c r="A259" s="433" t="s">
        <v>79</v>
      </c>
      <c r="B259" s="434" t="s">
        <v>569</v>
      </c>
      <c r="C259" s="435"/>
      <c r="D259" s="436">
        <v>198710</v>
      </c>
      <c r="E259" s="437">
        <v>9</v>
      </c>
      <c r="F259" s="571">
        <f t="shared" si="15"/>
        <v>66414</v>
      </c>
      <c r="G259" s="555">
        <f t="shared" si="16"/>
        <v>60564</v>
      </c>
      <c r="H259" s="380">
        <v>50927</v>
      </c>
      <c r="I259" s="381">
        <v>41423</v>
      </c>
      <c r="J259" s="380">
        <v>3626</v>
      </c>
      <c r="K259" s="382">
        <v>3570</v>
      </c>
      <c r="L259" s="380">
        <v>11846</v>
      </c>
      <c r="M259" s="380">
        <v>15</v>
      </c>
      <c r="N259" s="380">
        <v>0</v>
      </c>
      <c r="O259" s="381">
        <v>15571</v>
      </c>
      <c r="P259" s="381">
        <v>0</v>
      </c>
      <c r="Q259" s="382">
        <v>0</v>
      </c>
      <c r="R259" s="365"/>
      <c r="S259" s="367"/>
      <c r="T259" s="573">
        <f t="shared" si="17"/>
        <v>0</v>
      </c>
      <c r="U259" s="574">
        <f t="shared" si="18"/>
        <v>0</v>
      </c>
      <c r="V259" s="365"/>
      <c r="W259" s="366"/>
      <c r="X259" s="368"/>
      <c r="Y259" s="367"/>
      <c r="Z259" s="360"/>
      <c r="AA259" s="365"/>
      <c r="AB259" s="365"/>
      <c r="AC259" s="366"/>
      <c r="AD259" s="366"/>
      <c r="AE259" s="369"/>
      <c r="AF259" s="360"/>
      <c r="AG259" s="366"/>
    </row>
    <row r="260" spans="1:33">
      <c r="A260" s="433" t="s">
        <v>79</v>
      </c>
      <c r="B260" s="434" t="s">
        <v>570</v>
      </c>
      <c r="C260" s="435"/>
      <c r="D260" s="436">
        <v>198774</v>
      </c>
      <c r="E260" s="437">
        <v>9</v>
      </c>
      <c r="F260" s="571">
        <f t="shared" si="15"/>
        <v>92041</v>
      </c>
      <c r="G260" s="555">
        <f t="shared" si="16"/>
        <v>92584</v>
      </c>
      <c r="H260" s="380">
        <v>61527</v>
      </c>
      <c r="I260" s="381">
        <v>60532</v>
      </c>
      <c r="J260" s="380">
        <v>7635</v>
      </c>
      <c r="K260" s="382">
        <v>2802</v>
      </c>
      <c r="L260" s="380">
        <v>22423</v>
      </c>
      <c r="M260" s="380">
        <v>186</v>
      </c>
      <c r="N260" s="380">
        <v>270</v>
      </c>
      <c r="O260" s="381">
        <v>28940</v>
      </c>
      <c r="P260" s="381">
        <v>310</v>
      </c>
      <c r="Q260" s="382">
        <v>0</v>
      </c>
      <c r="R260" s="365"/>
      <c r="S260" s="367"/>
      <c r="T260" s="573">
        <f t="shared" si="17"/>
        <v>0</v>
      </c>
      <c r="U260" s="574">
        <f t="shared" si="18"/>
        <v>0</v>
      </c>
      <c r="V260" s="365"/>
      <c r="W260" s="366"/>
      <c r="X260" s="368"/>
      <c r="Y260" s="367"/>
      <c r="Z260" s="360"/>
      <c r="AA260" s="365"/>
      <c r="AB260" s="365"/>
      <c r="AC260" s="366"/>
      <c r="AD260" s="366"/>
      <c r="AE260" s="369"/>
      <c r="AF260" s="360"/>
      <c r="AG260" s="366"/>
    </row>
    <row r="261" spans="1:33">
      <c r="A261" s="433" t="s">
        <v>79</v>
      </c>
      <c r="B261" s="434" t="s">
        <v>571</v>
      </c>
      <c r="C261" s="435"/>
      <c r="D261" s="436">
        <v>198817</v>
      </c>
      <c r="E261" s="437">
        <v>9</v>
      </c>
      <c r="F261" s="571">
        <f t="shared" si="15"/>
        <v>81761</v>
      </c>
      <c r="G261" s="555">
        <f t="shared" si="16"/>
        <v>77239</v>
      </c>
      <c r="H261" s="380">
        <v>49592</v>
      </c>
      <c r="I261" s="381">
        <v>40899</v>
      </c>
      <c r="J261" s="380">
        <v>3223</v>
      </c>
      <c r="K261" s="382">
        <v>2317</v>
      </c>
      <c r="L261" s="380">
        <v>28946</v>
      </c>
      <c r="M261" s="380">
        <v>0</v>
      </c>
      <c r="N261" s="380">
        <v>0</v>
      </c>
      <c r="O261" s="381">
        <v>33999</v>
      </c>
      <c r="P261" s="381">
        <v>24</v>
      </c>
      <c r="Q261" s="382">
        <v>0</v>
      </c>
      <c r="R261" s="365"/>
      <c r="S261" s="367"/>
      <c r="T261" s="573">
        <f t="shared" si="17"/>
        <v>0</v>
      </c>
      <c r="U261" s="574">
        <f t="shared" si="18"/>
        <v>0</v>
      </c>
      <c r="V261" s="365"/>
      <c r="W261" s="366"/>
      <c r="X261" s="368"/>
      <c r="Y261" s="367"/>
      <c r="Z261" s="360"/>
      <c r="AA261" s="365"/>
      <c r="AB261" s="365"/>
      <c r="AC261" s="366"/>
      <c r="AD261" s="366"/>
      <c r="AE261" s="369"/>
      <c r="AF261" s="360"/>
      <c r="AG261" s="366"/>
    </row>
    <row r="262" spans="1:33">
      <c r="A262" s="433" t="s">
        <v>79</v>
      </c>
      <c r="B262" s="434" t="s">
        <v>572</v>
      </c>
      <c r="C262" s="435"/>
      <c r="D262" s="436">
        <v>198987</v>
      </c>
      <c r="E262" s="437">
        <v>9</v>
      </c>
      <c r="F262" s="571">
        <f t="shared" si="15"/>
        <v>76056</v>
      </c>
      <c r="G262" s="555">
        <f t="shared" si="16"/>
        <v>78564</v>
      </c>
      <c r="H262" s="380">
        <v>61231</v>
      </c>
      <c r="I262" s="381">
        <v>50617</v>
      </c>
      <c r="J262" s="380">
        <v>2971</v>
      </c>
      <c r="K262" s="382">
        <v>1745</v>
      </c>
      <c r="L262" s="380">
        <v>11854</v>
      </c>
      <c r="M262" s="380">
        <v>0</v>
      </c>
      <c r="N262" s="380">
        <v>0</v>
      </c>
      <c r="O262" s="381">
        <v>26196</v>
      </c>
      <c r="P262" s="381">
        <v>6</v>
      </c>
      <c r="Q262" s="382">
        <v>0</v>
      </c>
      <c r="R262" s="365"/>
      <c r="S262" s="367"/>
      <c r="T262" s="573">
        <f t="shared" si="17"/>
        <v>0</v>
      </c>
      <c r="U262" s="574">
        <f t="shared" si="18"/>
        <v>0</v>
      </c>
      <c r="V262" s="365"/>
      <c r="W262" s="366"/>
      <c r="X262" s="368"/>
      <c r="Y262" s="367"/>
      <c r="Z262" s="360"/>
      <c r="AA262" s="365"/>
      <c r="AB262" s="365"/>
      <c r="AC262" s="366"/>
      <c r="AD262" s="366"/>
      <c r="AE262" s="369"/>
      <c r="AF262" s="360"/>
      <c r="AG262" s="366"/>
    </row>
    <row r="263" spans="1:33">
      <c r="A263" s="433" t="s">
        <v>79</v>
      </c>
      <c r="B263" s="434" t="s">
        <v>573</v>
      </c>
      <c r="C263" s="435"/>
      <c r="D263" s="436">
        <v>199087</v>
      </c>
      <c r="E263" s="437">
        <v>9</v>
      </c>
      <c r="F263" s="571">
        <f t="shared" si="15"/>
        <v>61946</v>
      </c>
      <c r="G263" s="555">
        <f t="shared" si="16"/>
        <v>64698</v>
      </c>
      <c r="H263" s="380">
        <v>49717</v>
      </c>
      <c r="I263" s="381">
        <v>47265</v>
      </c>
      <c r="J263" s="380">
        <v>2690</v>
      </c>
      <c r="K263" s="382">
        <v>2282</v>
      </c>
      <c r="L263" s="380">
        <v>9302</v>
      </c>
      <c r="M263" s="380">
        <v>237</v>
      </c>
      <c r="N263" s="380">
        <v>0</v>
      </c>
      <c r="O263" s="381">
        <v>14803</v>
      </c>
      <c r="P263" s="381">
        <v>330</v>
      </c>
      <c r="Q263" s="382">
        <v>18</v>
      </c>
      <c r="R263" s="365"/>
      <c r="S263" s="367"/>
      <c r="T263" s="573">
        <f t="shared" si="17"/>
        <v>0</v>
      </c>
      <c r="U263" s="574">
        <f t="shared" si="18"/>
        <v>0</v>
      </c>
      <c r="V263" s="365"/>
      <c r="W263" s="366"/>
      <c r="X263" s="368"/>
      <c r="Y263" s="367"/>
      <c r="Z263" s="360"/>
      <c r="AA263" s="365"/>
      <c r="AB263" s="365"/>
      <c r="AC263" s="366"/>
      <c r="AD263" s="366"/>
      <c r="AE263" s="369"/>
      <c r="AF263" s="360"/>
      <c r="AG263" s="366"/>
    </row>
    <row r="264" spans="1:33">
      <c r="A264" s="433" t="s">
        <v>79</v>
      </c>
      <c r="B264" s="434" t="s">
        <v>574</v>
      </c>
      <c r="C264" s="435"/>
      <c r="D264" s="436">
        <v>199421</v>
      </c>
      <c r="E264" s="437">
        <v>9</v>
      </c>
      <c r="F264" s="571">
        <f t="shared" ref="F264:F327" si="19">SUM(H264,J264,L264,M264,N264,R264)</f>
        <v>63901</v>
      </c>
      <c r="G264" s="555">
        <f t="shared" ref="G264:G327" si="20">SUM(I264,K264,O264,P264,Q264,S264)</f>
        <v>63481</v>
      </c>
      <c r="H264" s="380">
        <v>45587</v>
      </c>
      <c r="I264" s="381">
        <v>45122</v>
      </c>
      <c r="J264" s="380">
        <v>3474</v>
      </c>
      <c r="K264" s="382">
        <v>2078</v>
      </c>
      <c r="L264" s="380">
        <v>12979</v>
      </c>
      <c r="M264" s="380">
        <v>1475</v>
      </c>
      <c r="N264" s="380">
        <v>386</v>
      </c>
      <c r="O264" s="381">
        <v>15402</v>
      </c>
      <c r="P264" s="381">
        <v>573</v>
      </c>
      <c r="Q264" s="382">
        <v>306</v>
      </c>
      <c r="R264" s="365"/>
      <c r="S264" s="367"/>
      <c r="T264" s="573">
        <f t="shared" ref="T264:T327" si="21">SUM(V264,X264,Z264,AA264,AB264,AF264)</f>
        <v>0</v>
      </c>
      <c r="U264" s="574">
        <f t="shared" ref="U264:U327" si="22">SUM(W264,Y264,AC264,AD264,AE264,AG264)</f>
        <v>0</v>
      </c>
      <c r="V264" s="365"/>
      <c r="W264" s="366"/>
      <c r="X264" s="368"/>
      <c r="Y264" s="367"/>
      <c r="Z264" s="360"/>
      <c r="AA264" s="365"/>
      <c r="AB264" s="365"/>
      <c r="AC264" s="366"/>
      <c r="AD264" s="366"/>
      <c r="AE264" s="369"/>
      <c r="AF264" s="360"/>
      <c r="AG264" s="366"/>
    </row>
    <row r="265" spans="1:33">
      <c r="A265" s="433" t="s">
        <v>79</v>
      </c>
      <c r="B265" s="434" t="s">
        <v>575</v>
      </c>
      <c r="C265" s="435"/>
      <c r="D265" s="436">
        <v>199476</v>
      </c>
      <c r="E265" s="437">
        <v>9</v>
      </c>
      <c r="F265" s="571">
        <f t="shared" si="19"/>
        <v>62535</v>
      </c>
      <c r="G265" s="555">
        <f t="shared" si="20"/>
        <v>63554</v>
      </c>
      <c r="H265" s="380">
        <v>49529</v>
      </c>
      <c r="I265" s="381">
        <v>50254</v>
      </c>
      <c r="J265" s="380">
        <v>2788</v>
      </c>
      <c r="K265" s="382">
        <v>1384</v>
      </c>
      <c r="L265" s="380">
        <v>10218</v>
      </c>
      <c r="M265" s="380">
        <v>0</v>
      </c>
      <c r="N265" s="380">
        <v>0</v>
      </c>
      <c r="O265" s="381">
        <v>11907</v>
      </c>
      <c r="P265" s="381">
        <v>9</v>
      </c>
      <c r="Q265" s="382">
        <v>0</v>
      </c>
      <c r="R265" s="365"/>
      <c r="S265" s="367"/>
      <c r="T265" s="573">
        <f t="shared" si="21"/>
        <v>0</v>
      </c>
      <c r="U265" s="574">
        <f t="shared" si="22"/>
        <v>0</v>
      </c>
      <c r="V265" s="365"/>
      <c r="W265" s="366"/>
      <c r="X265" s="368"/>
      <c r="Y265" s="367"/>
      <c r="Z265" s="360"/>
      <c r="AA265" s="365"/>
      <c r="AB265" s="365"/>
      <c r="AC265" s="366"/>
      <c r="AD265" s="366"/>
      <c r="AE265" s="369"/>
      <c r="AF265" s="360"/>
      <c r="AG265" s="366"/>
    </row>
    <row r="266" spans="1:33">
      <c r="A266" s="433" t="s">
        <v>79</v>
      </c>
      <c r="B266" s="434" t="s">
        <v>576</v>
      </c>
      <c r="C266" s="435"/>
      <c r="D266" s="436">
        <v>199634</v>
      </c>
      <c r="E266" s="437">
        <v>9</v>
      </c>
      <c r="F266" s="571">
        <f t="shared" si="19"/>
        <v>89719</v>
      </c>
      <c r="G266" s="555">
        <f t="shared" si="20"/>
        <v>91407</v>
      </c>
      <c r="H266" s="380">
        <v>69781</v>
      </c>
      <c r="I266" s="381">
        <v>56430</v>
      </c>
      <c r="J266" s="380">
        <v>1517</v>
      </c>
      <c r="K266" s="382">
        <v>1453</v>
      </c>
      <c r="L266" s="380">
        <v>18421</v>
      </c>
      <c r="M266" s="380">
        <v>0</v>
      </c>
      <c r="N266" s="380">
        <v>0</v>
      </c>
      <c r="O266" s="381">
        <v>33470</v>
      </c>
      <c r="P266" s="381">
        <v>0</v>
      </c>
      <c r="Q266" s="382">
        <v>54</v>
      </c>
      <c r="R266" s="365"/>
      <c r="S266" s="367"/>
      <c r="T266" s="573">
        <f t="shared" si="21"/>
        <v>0</v>
      </c>
      <c r="U266" s="574">
        <f t="shared" si="22"/>
        <v>0</v>
      </c>
      <c r="V266" s="365"/>
      <c r="W266" s="366"/>
      <c r="X266" s="368"/>
      <c r="Y266" s="367"/>
      <c r="Z266" s="360"/>
      <c r="AA266" s="365"/>
      <c r="AB266" s="365"/>
      <c r="AC266" s="366"/>
      <c r="AD266" s="366"/>
      <c r="AE266" s="369"/>
      <c r="AF266" s="360"/>
      <c r="AG266" s="366"/>
    </row>
    <row r="267" spans="1:33">
      <c r="A267" s="433" t="s">
        <v>79</v>
      </c>
      <c r="B267" s="434" t="s">
        <v>577</v>
      </c>
      <c r="C267" s="435"/>
      <c r="D267" s="436">
        <v>199740</v>
      </c>
      <c r="E267" s="437">
        <v>9</v>
      </c>
      <c r="F267" s="571">
        <f t="shared" si="19"/>
        <v>69443</v>
      </c>
      <c r="G267" s="555">
        <f t="shared" si="20"/>
        <v>69019</v>
      </c>
      <c r="H267" s="380">
        <v>30382</v>
      </c>
      <c r="I267" s="381">
        <v>24510</v>
      </c>
      <c r="J267" s="380">
        <v>3903</v>
      </c>
      <c r="K267" s="382">
        <v>2011</v>
      </c>
      <c r="L267" s="380">
        <v>32392</v>
      </c>
      <c r="M267" s="380">
        <v>2766</v>
      </c>
      <c r="N267" s="380">
        <v>0</v>
      </c>
      <c r="O267" s="381">
        <v>40861</v>
      </c>
      <c r="P267" s="381">
        <v>1637</v>
      </c>
      <c r="Q267" s="382">
        <v>0</v>
      </c>
      <c r="R267" s="365"/>
      <c r="S267" s="367"/>
      <c r="T267" s="573">
        <f t="shared" si="21"/>
        <v>0</v>
      </c>
      <c r="U267" s="574">
        <f t="shared" si="22"/>
        <v>0</v>
      </c>
      <c r="V267" s="365"/>
      <c r="W267" s="366"/>
      <c r="X267" s="368"/>
      <c r="Y267" s="367"/>
      <c r="Z267" s="360"/>
      <c r="AA267" s="365"/>
      <c r="AB267" s="365"/>
      <c r="AC267" s="366"/>
      <c r="AD267" s="366"/>
      <c r="AE267" s="369"/>
      <c r="AF267" s="360"/>
      <c r="AG267" s="366"/>
    </row>
    <row r="268" spans="1:33">
      <c r="A268" s="433" t="s">
        <v>79</v>
      </c>
      <c r="B268" s="434" t="s">
        <v>578</v>
      </c>
      <c r="C268" s="435"/>
      <c r="D268" s="436">
        <v>199768</v>
      </c>
      <c r="E268" s="437">
        <v>9</v>
      </c>
      <c r="F268" s="571">
        <f t="shared" si="19"/>
        <v>76882</v>
      </c>
      <c r="G268" s="555">
        <f t="shared" si="20"/>
        <v>74394</v>
      </c>
      <c r="H268" s="380">
        <v>58143</v>
      </c>
      <c r="I268" s="381">
        <v>51507</v>
      </c>
      <c r="J268" s="380">
        <v>150</v>
      </c>
      <c r="K268" s="382">
        <v>543</v>
      </c>
      <c r="L268" s="380">
        <v>17523</v>
      </c>
      <c r="M268" s="380">
        <v>1066</v>
      </c>
      <c r="N268" s="380">
        <v>0</v>
      </c>
      <c r="O268" s="381">
        <v>21022</v>
      </c>
      <c r="P268" s="381">
        <v>1322</v>
      </c>
      <c r="Q268" s="382">
        <v>0</v>
      </c>
      <c r="R268" s="365"/>
      <c r="S268" s="367"/>
      <c r="T268" s="573">
        <f t="shared" si="21"/>
        <v>0</v>
      </c>
      <c r="U268" s="574">
        <f t="shared" si="22"/>
        <v>0</v>
      </c>
      <c r="V268" s="365"/>
      <c r="W268" s="366"/>
      <c r="X268" s="368"/>
      <c r="Y268" s="367"/>
      <c r="Z268" s="360"/>
      <c r="AA268" s="365"/>
      <c r="AB268" s="365"/>
      <c r="AC268" s="366"/>
      <c r="AD268" s="366"/>
      <c r="AE268" s="369"/>
      <c r="AF268" s="360"/>
      <c r="AG268" s="366"/>
    </row>
    <row r="269" spans="1:33">
      <c r="A269" s="433" t="s">
        <v>79</v>
      </c>
      <c r="B269" s="434" t="s">
        <v>579</v>
      </c>
      <c r="C269" s="435"/>
      <c r="D269" s="436">
        <v>199838</v>
      </c>
      <c r="E269" s="437">
        <v>9</v>
      </c>
      <c r="F269" s="571">
        <f t="shared" si="19"/>
        <v>87227</v>
      </c>
      <c r="G269" s="555">
        <f t="shared" si="20"/>
        <v>83738</v>
      </c>
      <c r="H269" s="380">
        <v>59223</v>
      </c>
      <c r="I269" s="381">
        <v>52336</v>
      </c>
      <c r="J269" s="380">
        <v>6129</v>
      </c>
      <c r="K269" s="382">
        <v>2082</v>
      </c>
      <c r="L269" s="380">
        <v>20533</v>
      </c>
      <c r="M269" s="380">
        <v>1342</v>
      </c>
      <c r="N269" s="380">
        <v>0</v>
      </c>
      <c r="O269" s="381">
        <v>27490</v>
      </c>
      <c r="P269" s="381">
        <v>1830</v>
      </c>
      <c r="Q269" s="382">
        <v>0</v>
      </c>
      <c r="R269" s="365"/>
      <c r="S269" s="367"/>
      <c r="T269" s="573">
        <f t="shared" si="21"/>
        <v>0</v>
      </c>
      <c r="U269" s="574">
        <f t="shared" si="22"/>
        <v>0</v>
      </c>
      <c r="V269" s="365"/>
      <c r="W269" s="366"/>
      <c r="X269" s="368"/>
      <c r="Y269" s="367"/>
      <c r="Z269" s="360"/>
      <c r="AA269" s="365"/>
      <c r="AB269" s="365"/>
      <c r="AC269" s="366"/>
      <c r="AD269" s="366"/>
      <c r="AE269" s="369"/>
      <c r="AF269" s="360"/>
      <c r="AG269" s="366"/>
    </row>
    <row r="270" spans="1:33">
      <c r="A270" s="433" t="s">
        <v>79</v>
      </c>
      <c r="B270" s="434" t="s">
        <v>580</v>
      </c>
      <c r="C270" s="435"/>
      <c r="D270" s="436">
        <v>199892</v>
      </c>
      <c r="E270" s="437">
        <v>9</v>
      </c>
      <c r="F270" s="571">
        <f t="shared" si="19"/>
        <v>83747</v>
      </c>
      <c r="G270" s="555">
        <f t="shared" si="20"/>
        <v>84341</v>
      </c>
      <c r="H270" s="380">
        <v>58184</v>
      </c>
      <c r="I270" s="381">
        <v>44373</v>
      </c>
      <c r="J270" s="380">
        <v>3936</v>
      </c>
      <c r="K270" s="382">
        <v>3198</v>
      </c>
      <c r="L270" s="380">
        <v>21492</v>
      </c>
      <c r="M270" s="380">
        <v>0</v>
      </c>
      <c r="N270" s="380">
        <v>135</v>
      </c>
      <c r="O270" s="381">
        <v>36605</v>
      </c>
      <c r="P270" s="381">
        <v>0</v>
      </c>
      <c r="Q270" s="382">
        <v>165</v>
      </c>
      <c r="R270" s="365"/>
      <c r="S270" s="367"/>
      <c r="T270" s="573">
        <f t="shared" si="21"/>
        <v>0</v>
      </c>
      <c r="U270" s="574">
        <f t="shared" si="22"/>
        <v>0</v>
      </c>
      <c r="V270" s="365"/>
      <c r="W270" s="366"/>
      <c r="X270" s="368"/>
      <c r="Y270" s="367"/>
      <c r="Z270" s="360"/>
      <c r="AA270" s="365"/>
      <c r="AB270" s="365"/>
      <c r="AC270" s="366"/>
      <c r="AD270" s="366"/>
      <c r="AE270" s="369"/>
      <c r="AF270" s="360"/>
      <c r="AG270" s="366"/>
    </row>
    <row r="271" spans="1:33">
      <c r="A271" s="433" t="s">
        <v>79</v>
      </c>
      <c r="B271" s="434" t="s">
        <v>581</v>
      </c>
      <c r="C271" s="435"/>
      <c r="D271" s="436">
        <v>199908</v>
      </c>
      <c r="E271" s="437">
        <v>9</v>
      </c>
      <c r="F271" s="571">
        <f t="shared" si="19"/>
        <v>81492</v>
      </c>
      <c r="G271" s="555">
        <f t="shared" si="20"/>
        <v>76240</v>
      </c>
      <c r="H271" s="380">
        <v>59509</v>
      </c>
      <c r="I271" s="381">
        <v>45622</v>
      </c>
      <c r="J271" s="380">
        <v>2812</v>
      </c>
      <c r="K271" s="382">
        <v>424</v>
      </c>
      <c r="L271" s="380">
        <v>19171</v>
      </c>
      <c r="M271" s="380">
        <v>0</v>
      </c>
      <c r="N271" s="380">
        <v>0</v>
      </c>
      <c r="O271" s="381">
        <v>30194</v>
      </c>
      <c r="P271" s="381">
        <v>0</v>
      </c>
      <c r="Q271" s="382">
        <v>0</v>
      </c>
      <c r="R271" s="365"/>
      <c r="S271" s="367"/>
      <c r="T271" s="573">
        <f t="shared" si="21"/>
        <v>0</v>
      </c>
      <c r="U271" s="574">
        <f t="shared" si="22"/>
        <v>0</v>
      </c>
      <c r="V271" s="365"/>
      <c r="W271" s="366"/>
      <c r="X271" s="368"/>
      <c r="Y271" s="367"/>
      <c r="Z271" s="360"/>
      <c r="AA271" s="365"/>
      <c r="AB271" s="365"/>
      <c r="AC271" s="366"/>
      <c r="AD271" s="366"/>
      <c r="AE271" s="369"/>
      <c r="AF271" s="360"/>
      <c r="AG271" s="366"/>
    </row>
    <row r="272" spans="1:33">
      <c r="A272" s="433" t="s">
        <v>79</v>
      </c>
      <c r="B272" s="434" t="s">
        <v>582</v>
      </c>
      <c r="C272" s="435"/>
      <c r="D272" s="436">
        <v>199926</v>
      </c>
      <c r="E272" s="437">
        <v>9</v>
      </c>
      <c r="F272" s="571">
        <f t="shared" si="19"/>
        <v>65818</v>
      </c>
      <c r="G272" s="555">
        <f t="shared" si="20"/>
        <v>62280</v>
      </c>
      <c r="H272" s="380">
        <v>52622</v>
      </c>
      <c r="I272" s="381">
        <v>44679</v>
      </c>
      <c r="J272" s="380">
        <v>644</v>
      </c>
      <c r="K272" s="382">
        <v>731</v>
      </c>
      <c r="L272" s="380">
        <v>8618</v>
      </c>
      <c r="M272" s="380">
        <v>3934</v>
      </c>
      <c r="N272" s="380">
        <v>0</v>
      </c>
      <c r="O272" s="381">
        <v>14409</v>
      </c>
      <c r="P272" s="381">
        <v>2461</v>
      </c>
      <c r="Q272" s="382">
        <v>0</v>
      </c>
      <c r="R272" s="365"/>
      <c r="S272" s="367"/>
      <c r="T272" s="573">
        <f t="shared" si="21"/>
        <v>0</v>
      </c>
      <c r="U272" s="574">
        <f t="shared" si="22"/>
        <v>0</v>
      </c>
      <c r="V272" s="365"/>
      <c r="W272" s="366"/>
      <c r="X272" s="368"/>
      <c r="Y272" s="367"/>
      <c r="Z272" s="360"/>
      <c r="AA272" s="365"/>
      <c r="AB272" s="365"/>
      <c r="AC272" s="366"/>
      <c r="AD272" s="366"/>
      <c r="AE272" s="369"/>
      <c r="AF272" s="360"/>
      <c r="AG272" s="366"/>
    </row>
    <row r="273" spans="1:33">
      <c r="A273" s="439" t="s">
        <v>79</v>
      </c>
      <c r="B273" s="434" t="s">
        <v>583</v>
      </c>
      <c r="C273" s="435"/>
      <c r="D273" s="436">
        <v>197966</v>
      </c>
      <c r="E273" s="437">
        <v>10</v>
      </c>
      <c r="F273" s="571">
        <f t="shared" si="19"/>
        <v>40002</v>
      </c>
      <c r="G273" s="555">
        <f t="shared" si="20"/>
        <v>40315</v>
      </c>
      <c r="H273" s="380">
        <v>30884</v>
      </c>
      <c r="I273" s="381">
        <v>23585</v>
      </c>
      <c r="J273" s="380">
        <v>1987</v>
      </c>
      <c r="K273" s="382">
        <v>1153</v>
      </c>
      <c r="L273" s="380">
        <v>6788</v>
      </c>
      <c r="M273" s="380">
        <v>0</v>
      </c>
      <c r="N273" s="380">
        <v>343</v>
      </c>
      <c r="O273" s="381">
        <v>15081</v>
      </c>
      <c r="P273" s="381">
        <v>0</v>
      </c>
      <c r="Q273" s="382">
        <v>496</v>
      </c>
      <c r="R273" s="365"/>
      <c r="S273" s="367"/>
      <c r="T273" s="573">
        <f t="shared" si="21"/>
        <v>0</v>
      </c>
      <c r="U273" s="574">
        <f t="shared" si="22"/>
        <v>0</v>
      </c>
      <c r="V273" s="365"/>
      <c r="W273" s="366"/>
      <c r="X273" s="368"/>
      <c r="Y273" s="367"/>
      <c r="Z273" s="360"/>
      <c r="AA273" s="365"/>
      <c r="AB273" s="365"/>
      <c r="AC273" s="366"/>
      <c r="AD273" s="366"/>
      <c r="AE273" s="369"/>
      <c r="AF273" s="360"/>
      <c r="AG273" s="366"/>
    </row>
    <row r="274" spans="1:33">
      <c r="A274" s="433" t="s">
        <v>79</v>
      </c>
      <c r="B274" s="434" t="s">
        <v>584</v>
      </c>
      <c r="C274" s="435"/>
      <c r="D274" s="436">
        <v>198011</v>
      </c>
      <c r="E274" s="437">
        <v>10</v>
      </c>
      <c r="F274" s="571">
        <f t="shared" si="19"/>
        <v>42382</v>
      </c>
      <c r="G274" s="555">
        <f t="shared" si="20"/>
        <v>38059</v>
      </c>
      <c r="H274" s="380">
        <v>24167</v>
      </c>
      <c r="I274" s="381">
        <v>20151</v>
      </c>
      <c r="J274" s="380">
        <v>511</v>
      </c>
      <c r="K274" s="382">
        <v>149</v>
      </c>
      <c r="L274" s="380">
        <v>12674</v>
      </c>
      <c r="M274" s="380">
        <v>2495</v>
      </c>
      <c r="N274" s="380">
        <v>2535</v>
      </c>
      <c r="O274" s="381">
        <v>13465</v>
      </c>
      <c r="P274" s="381">
        <v>2174</v>
      </c>
      <c r="Q274" s="382">
        <v>2120</v>
      </c>
      <c r="R274" s="365"/>
      <c r="S274" s="367"/>
      <c r="T274" s="573">
        <f t="shared" si="21"/>
        <v>0</v>
      </c>
      <c r="U274" s="574">
        <f t="shared" si="22"/>
        <v>0</v>
      </c>
      <c r="V274" s="365"/>
      <c r="W274" s="366"/>
      <c r="X274" s="368"/>
      <c r="Y274" s="367"/>
      <c r="Z274" s="360"/>
      <c r="AA274" s="365"/>
      <c r="AB274" s="365"/>
      <c r="AC274" s="366"/>
      <c r="AD274" s="366"/>
      <c r="AE274" s="369"/>
      <c r="AF274" s="360"/>
      <c r="AG274" s="366"/>
    </row>
    <row r="275" spans="1:33">
      <c r="A275" s="433" t="s">
        <v>79</v>
      </c>
      <c r="B275" s="434" t="s">
        <v>585</v>
      </c>
      <c r="C275" s="435"/>
      <c r="D275" s="436">
        <v>198039</v>
      </c>
      <c r="E275" s="437">
        <v>10</v>
      </c>
      <c r="F275" s="571">
        <f t="shared" si="19"/>
        <v>50471</v>
      </c>
      <c r="G275" s="555">
        <f t="shared" si="20"/>
        <v>49694</v>
      </c>
      <c r="H275" s="380">
        <v>39555</v>
      </c>
      <c r="I275" s="381">
        <v>32692</v>
      </c>
      <c r="J275" s="380">
        <v>1239</v>
      </c>
      <c r="K275" s="382">
        <v>1120</v>
      </c>
      <c r="L275" s="380">
        <v>7826</v>
      </c>
      <c r="M275" s="380">
        <v>173</v>
      </c>
      <c r="N275" s="380">
        <v>1678</v>
      </c>
      <c r="O275" s="381">
        <v>15655</v>
      </c>
      <c r="P275" s="381">
        <v>173</v>
      </c>
      <c r="Q275" s="382">
        <v>54</v>
      </c>
      <c r="R275" s="365"/>
      <c r="S275" s="367"/>
      <c r="T275" s="573">
        <f t="shared" si="21"/>
        <v>0</v>
      </c>
      <c r="U275" s="574">
        <f t="shared" si="22"/>
        <v>0</v>
      </c>
      <c r="V275" s="365"/>
      <c r="W275" s="366"/>
      <c r="X275" s="368"/>
      <c r="Y275" s="367"/>
      <c r="Z275" s="360"/>
      <c r="AA275" s="365"/>
      <c r="AB275" s="365"/>
      <c r="AC275" s="366"/>
      <c r="AD275" s="366"/>
      <c r="AE275" s="369"/>
      <c r="AF275" s="360"/>
      <c r="AG275" s="366"/>
    </row>
    <row r="276" spans="1:33">
      <c r="A276" s="433" t="s">
        <v>79</v>
      </c>
      <c r="B276" s="434" t="s">
        <v>586</v>
      </c>
      <c r="C276" s="435"/>
      <c r="D276" s="436">
        <v>198084</v>
      </c>
      <c r="E276" s="437">
        <v>10</v>
      </c>
      <c r="F276" s="571">
        <f t="shared" si="19"/>
        <v>30834</v>
      </c>
      <c r="G276" s="555">
        <f t="shared" si="20"/>
        <v>33061</v>
      </c>
      <c r="H276" s="380">
        <v>24442</v>
      </c>
      <c r="I276" s="381">
        <v>21365</v>
      </c>
      <c r="J276" s="380">
        <v>108</v>
      </c>
      <c r="K276" s="382">
        <v>159</v>
      </c>
      <c r="L276" s="380">
        <v>6131</v>
      </c>
      <c r="M276" s="380">
        <v>153</v>
      </c>
      <c r="N276" s="380">
        <v>0</v>
      </c>
      <c r="O276" s="381">
        <v>11389</v>
      </c>
      <c r="P276" s="381">
        <v>148</v>
      </c>
      <c r="Q276" s="382">
        <v>0</v>
      </c>
      <c r="R276" s="365"/>
      <c r="S276" s="367"/>
      <c r="T276" s="573">
        <f t="shared" si="21"/>
        <v>0</v>
      </c>
      <c r="U276" s="574">
        <f t="shared" si="22"/>
        <v>0</v>
      </c>
      <c r="V276" s="365"/>
      <c r="W276" s="366"/>
      <c r="X276" s="368"/>
      <c r="Y276" s="367"/>
      <c r="Z276" s="360"/>
      <c r="AA276" s="365"/>
      <c r="AB276" s="365"/>
      <c r="AC276" s="366"/>
      <c r="AD276" s="366"/>
      <c r="AE276" s="369"/>
      <c r="AF276" s="360"/>
      <c r="AG276" s="366"/>
    </row>
    <row r="277" spans="1:33">
      <c r="A277" s="433" t="s">
        <v>79</v>
      </c>
      <c r="B277" s="434" t="s">
        <v>587</v>
      </c>
      <c r="C277" s="435"/>
      <c r="D277" s="436">
        <v>198206</v>
      </c>
      <c r="E277" s="437">
        <v>10</v>
      </c>
      <c r="F277" s="571">
        <f t="shared" si="19"/>
        <v>39825</v>
      </c>
      <c r="G277" s="555">
        <f t="shared" si="20"/>
        <v>39517</v>
      </c>
      <c r="H277" s="380">
        <v>28394</v>
      </c>
      <c r="I277" s="381">
        <v>22831</v>
      </c>
      <c r="J277" s="380">
        <v>1273</v>
      </c>
      <c r="K277" s="382">
        <v>1432</v>
      </c>
      <c r="L277" s="380">
        <v>10158</v>
      </c>
      <c r="M277" s="380">
        <v>0</v>
      </c>
      <c r="N277" s="380">
        <v>0</v>
      </c>
      <c r="O277" s="381">
        <v>15254</v>
      </c>
      <c r="P277" s="381">
        <v>0</v>
      </c>
      <c r="Q277" s="382">
        <v>0</v>
      </c>
      <c r="R277" s="365"/>
      <c r="S277" s="367"/>
      <c r="T277" s="573">
        <f t="shared" si="21"/>
        <v>0</v>
      </c>
      <c r="U277" s="574">
        <f t="shared" si="22"/>
        <v>0</v>
      </c>
      <c r="V277" s="365"/>
      <c r="W277" s="366"/>
      <c r="X277" s="368"/>
      <c r="Y277" s="367"/>
      <c r="Z277" s="360"/>
      <c r="AA277" s="365"/>
      <c r="AB277" s="365"/>
      <c r="AC277" s="366"/>
      <c r="AD277" s="366"/>
      <c r="AE277" s="369"/>
      <c r="AF277" s="360"/>
      <c r="AG277" s="366"/>
    </row>
    <row r="278" spans="1:33">
      <c r="A278" s="433" t="s">
        <v>79</v>
      </c>
      <c r="B278" s="434" t="s">
        <v>588</v>
      </c>
      <c r="C278" s="435"/>
      <c r="D278" s="436">
        <v>197814</v>
      </c>
      <c r="E278" s="437">
        <v>10</v>
      </c>
      <c r="F278" s="571">
        <f t="shared" si="19"/>
        <v>53862</v>
      </c>
      <c r="G278" s="555">
        <f t="shared" si="20"/>
        <v>56421</v>
      </c>
      <c r="H278" s="380">
        <v>32302</v>
      </c>
      <c r="I278" s="381">
        <v>31812</v>
      </c>
      <c r="J278" s="380">
        <v>3647</v>
      </c>
      <c r="K278" s="382">
        <v>1254</v>
      </c>
      <c r="L278" s="380">
        <v>17862</v>
      </c>
      <c r="M278" s="380">
        <v>51</v>
      </c>
      <c r="N278" s="380">
        <v>0</v>
      </c>
      <c r="O278" s="381">
        <v>23295</v>
      </c>
      <c r="P278" s="381">
        <v>60</v>
      </c>
      <c r="Q278" s="382">
        <v>0</v>
      </c>
      <c r="R278" s="365"/>
      <c r="S278" s="367"/>
      <c r="T278" s="573">
        <f t="shared" si="21"/>
        <v>0</v>
      </c>
      <c r="U278" s="574">
        <f t="shared" si="22"/>
        <v>0</v>
      </c>
      <c r="V278" s="365"/>
      <c r="W278" s="366"/>
      <c r="X278" s="368"/>
      <c r="Y278" s="367"/>
      <c r="Z278" s="360"/>
      <c r="AA278" s="365"/>
      <c r="AB278" s="365"/>
      <c r="AC278" s="366"/>
      <c r="AD278" s="366"/>
      <c r="AE278" s="369"/>
      <c r="AF278" s="360"/>
      <c r="AG278" s="366"/>
    </row>
    <row r="279" spans="1:33">
      <c r="A279" s="433" t="s">
        <v>79</v>
      </c>
      <c r="B279" s="434" t="s">
        <v>589</v>
      </c>
      <c r="C279" s="435"/>
      <c r="D279" s="436">
        <v>198640</v>
      </c>
      <c r="E279" s="437">
        <v>10</v>
      </c>
      <c r="F279" s="571">
        <f t="shared" si="19"/>
        <v>40188</v>
      </c>
      <c r="G279" s="555">
        <f t="shared" si="20"/>
        <v>37285</v>
      </c>
      <c r="H279" s="380">
        <v>28115</v>
      </c>
      <c r="I279" s="381">
        <v>22449</v>
      </c>
      <c r="J279" s="380">
        <v>3750</v>
      </c>
      <c r="K279" s="382">
        <v>1957</v>
      </c>
      <c r="L279" s="380">
        <v>7897</v>
      </c>
      <c r="M279" s="380">
        <v>426</v>
      </c>
      <c r="N279" s="380">
        <v>0</v>
      </c>
      <c r="O279" s="381">
        <v>12696</v>
      </c>
      <c r="P279" s="381">
        <v>183</v>
      </c>
      <c r="Q279" s="382">
        <v>0</v>
      </c>
      <c r="R279" s="365"/>
      <c r="S279" s="367"/>
      <c r="T279" s="573">
        <f t="shared" si="21"/>
        <v>0</v>
      </c>
      <c r="U279" s="574">
        <f t="shared" si="22"/>
        <v>0</v>
      </c>
      <c r="V279" s="365"/>
      <c r="W279" s="366"/>
      <c r="X279" s="368"/>
      <c r="Y279" s="367"/>
      <c r="Z279" s="360"/>
      <c r="AA279" s="365"/>
      <c r="AB279" s="365"/>
      <c r="AC279" s="366"/>
      <c r="AD279" s="366"/>
      <c r="AE279" s="369"/>
      <c r="AF279" s="360"/>
      <c r="AG279" s="366"/>
    </row>
    <row r="280" spans="1:33">
      <c r="A280" s="433" t="s">
        <v>79</v>
      </c>
      <c r="B280" s="434" t="s">
        <v>590</v>
      </c>
      <c r="C280" s="435"/>
      <c r="D280" s="436">
        <v>198729</v>
      </c>
      <c r="E280" s="437">
        <v>10</v>
      </c>
      <c r="F280" s="571">
        <f t="shared" si="19"/>
        <v>32854</v>
      </c>
      <c r="G280" s="555">
        <f t="shared" si="20"/>
        <v>32371</v>
      </c>
      <c r="H280" s="380">
        <v>23526</v>
      </c>
      <c r="I280" s="381">
        <v>21547</v>
      </c>
      <c r="J280" s="380">
        <v>2277</v>
      </c>
      <c r="K280" s="382">
        <v>1337</v>
      </c>
      <c r="L280" s="380">
        <v>6502</v>
      </c>
      <c r="M280" s="380">
        <v>549</v>
      </c>
      <c r="N280" s="380">
        <v>0</v>
      </c>
      <c r="O280" s="381">
        <v>8671</v>
      </c>
      <c r="P280" s="381">
        <v>816</v>
      </c>
      <c r="Q280" s="382">
        <v>0</v>
      </c>
      <c r="R280" s="365"/>
      <c r="S280" s="367"/>
      <c r="T280" s="573">
        <f t="shared" si="21"/>
        <v>0</v>
      </c>
      <c r="U280" s="574">
        <f t="shared" si="22"/>
        <v>0</v>
      </c>
      <c r="V280" s="365"/>
      <c r="W280" s="366"/>
      <c r="X280" s="368"/>
      <c r="Y280" s="367"/>
      <c r="Z280" s="360"/>
      <c r="AA280" s="365"/>
      <c r="AB280" s="365"/>
      <c r="AC280" s="366"/>
      <c r="AD280" s="366"/>
      <c r="AE280" s="369"/>
      <c r="AF280" s="360"/>
      <c r="AG280" s="366"/>
    </row>
    <row r="281" spans="1:33">
      <c r="A281" s="433" t="s">
        <v>79</v>
      </c>
      <c r="B281" s="434" t="s">
        <v>591</v>
      </c>
      <c r="C281" s="435"/>
      <c r="D281" s="436">
        <v>198905</v>
      </c>
      <c r="E281" s="437">
        <v>10</v>
      </c>
      <c r="F281" s="571">
        <f t="shared" si="19"/>
        <v>16268</v>
      </c>
      <c r="G281" s="555">
        <f t="shared" si="20"/>
        <v>17085</v>
      </c>
      <c r="H281" s="380">
        <v>12016</v>
      </c>
      <c r="I281" s="381">
        <v>7935</v>
      </c>
      <c r="J281" s="380">
        <v>725</v>
      </c>
      <c r="K281" s="382">
        <v>550</v>
      </c>
      <c r="L281" s="380">
        <v>3395</v>
      </c>
      <c r="M281" s="380">
        <v>132</v>
      </c>
      <c r="N281" s="380">
        <v>0</v>
      </c>
      <c r="O281" s="381">
        <v>8435</v>
      </c>
      <c r="P281" s="381">
        <v>165</v>
      </c>
      <c r="Q281" s="382">
        <v>0</v>
      </c>
      <c r="R281" s="365"/>
      <c r="S281" s="367"/>
      <c r="T281" s="573">
        <f t="shared" si="21"/>
        <v>0</v>
      </c>
      <c r="U281" s="574">
        <f t="shared" si="22"/>
        <v>0</v>
      </c>
      <c r="V281" s="365"/>
      <c r="W281" s="366"/>
      <c r="X281" s="368"/>
      <c r="Y281" s="367"/>
      <c r="Z281" s="360"/>
      <c r="AA281" s="365"/>
      <c r="AB281" s="365"/>
      <c r="AC281" s="366"/>
      <c r="AD281" s="366"/>
      <c r="AE281" s="369"/>
      <c r="AF281" s="360"/>
      <c r="AG281" s="366"/>
    </row>
    <row r="282" spans="1:33">
      <c r="A282" s="439" t="s">
        <v>79</v>
      </c>
      <c r="B282" s="434" t="s">
        <v>592</v>
      </c>
      <c r="C282" s="435"/>
      <c r="D282" s="436">
        <v>198914</v>
      </c>
      <c r="E282" s="437">
        <v>10</v>
      </c>
      <c r="F282" s="571">
        <f t="shared" si="19"/>
        <v>28835</v>
      </c>
      <c r="G282" s="555">
        <f t="shared" si="20"/>
        <v>21968</v>
      </c>
      <c r="H282" s="380">
        <v>17890</v>
      </c>
      <c r="I282" s="381">
        <v>14707</v>
      </c>
      <c r="J282" s="380">
        <v>7548</v>
      </c>
      <c r="K282" s="382">
        <v>3645</v>
      </c>
      <c r="L282" s="380">
        <v>3234</v>
      </c>
      <c r="M282" s="380">
        <v>163</v>
      </c>
      <c r="N282" s="380">
        <v>0</v>
      </c>
      <c r="O282" s="381">
        <v>3616</v>
      </c>
      <c r="P282" s="381">
        <v>0</v>
      </c>
      <c r="Q282" s="382">
        <v>0</v>
      </c>
      <c r="R282" s="365"/>
      <c r="S282" s="367"/>
      <c r="T282" s="573">
        <f t="shared" si="21"/>
        <v>0</v>
      </c>
      <c r="U282" s="574">
        <f t="shared" si="22"/>
        <v>0</v>
      </c>
      <c r="V282" s="365"/>
      <c r="W282" s="366"/>
      <c r="X282" s="368"/>
      <c r="Y282" s="367"/>
      <c r="Z282" s="360"/>
      <c r="AA282" s="365"/>
      <c r="AB282" s="365"/>
      <c r="AC282" s="366"/>
      <c r="AD282" s="366"/>
      <c r="AE282" s="369"/>
      <c r="AF282" s="360"/>
      <c r="AG282" s="366"/>
    </row>
    <row r="283" spans="1:33">
      <c r="A283" s="433" t="s">
        <v>79</v>
      </c>
      <c r="B283" s="434" t="s">
        <v>593</v>
      </c>
      <c r="C283" s="435"/>
      <c r="D283" s="436">
        <v>198923</v>
      </c>
      <c r="E283" s="437">
        <v>10</v>
      </c>
      <c r="F283" s="571">
        <f t="shared" si="19"/>
        <v>36927</v>
      </c>
      <c r="G283" s="555">
        <f t="shared" si="20"/>
        <v>30880</v>
      </c>
      <c r="H283" s="380">
        <v>31461</v>
      </c>
      <c r="I283" s="381">
        <v>23708</v>
      </c>
      <c r="J283" s="380">
        <v>1841</v>
      </c>
      <c r="K283" s="382">
        <v>979</v>
      </c>
      <c r="L283" s="380">
        <v>3262</v>
      </c>
      <c r="M283" s="380">
        <v>105</v>
      </c>
      <c r="N283" s="380">
        <v>258</v>
      </c>
      <c r="O283" s="381">
        <v>6019</v>
      </c>
      <c r="P283" s="381">
        <v>117</v>
      </c>
      <c r="Q283" s="382">
        <v>57</v>
      </c>
      <c r="R283" s="365"/>
      <c r="S283" s="367"/>
      <c r="T283" s="573">
        <f t="shared" si="21"/>
        <v>0</v>
      </c>
      <c r="U283" s="574">
        <f t="shared" si="22"/>
        <v>0</v>
      </c>
      <c r="V283" s="365"/>
      <c r="W283" s="366"/>
      <c r="X283" s="368"/>
      <c r="Y283" s="367"/>
      <c r="Z283" s="360"/>
      <c r="AA283" s="365"/>
      <c r="AB283" s="365"/>
      <c r="AC283" s="366"/>
      <c r="AD283" s="366"/>
      <c r="AE283" s="369"/>
      <c r="AF283" s="360"/>
      <c r="AG283" s="366"/>
    </row>
    <row r="284" spans="1:33">
      <c r="A284" s="433" t="s">
        <v>79</v>
      </c>
      <c r="B284" s="434" t="s">
        <v>594</v>
      </c>
      <c r="C284" s="435"/>
      <c r="D284" s="436">
        <v>199023</v>
      </c>
      <c r="E284" s="437">
        <v>10</v>
      </c>
      <c r="F284" s="571">
        <f t="shared" si="19"/>
        <v>19795</v>
      </c>
      <c r="G284" s="555">
        <f t="shared" si="20"/>
        <v>18505</v>
      </c>
      <c r="H284" s="380">
        <v>12895</v>
      </c>
      <c r="I284" s="381">
        <v>10507</v>
      </c>
      <c r="J284" s="380">
        <v>1514</v>
      </c>
      <c r="K284" s="382">
        <v>779</v>
      </c>
      <c r="L284" s="380">
        <v>5053</v>
      </c>
      <c r="M284" s="380">
        <v>333</v>
      </c>
      <c r="N284" s="380">
        <v>0</v>
      </c>
      <c r="O284" s="381">
        <v>7138</v>
      </c>
      <c r="P284" s="381">
        <v>81</v>
      </c>
      <c r="Q284" s="382">
        <v>0</v>
      </c>
      <c r="R284" s="365"/>
      <c r="S284" s="367"/>
      <c r="T284" s="573">
        <f t="shared" si="21"/>
        <v>0</v>
      </c>
      <c r="U284" s="574">
        <f t="shared" si="22"/>
        <v>0</v>
      </c>
      <c r="V284" s="365"/>
      <c r="W284" s="366"/>
      <c r="X284" s="368"/>
      <c r="Y284" s="367"/>
      <c r="Z284" s="360"/>
      <c r="AA284" s="365"/>
      <c r="AB284" s="365"/>
      <c r="AC284" s="366"/>
      <c r="AD284" s="366"/>
      <c r="AE284" s="369"/>
      <c r="AF284" s="360"/>
      <c r="AG284" s="366"/>
    </row>
    <row r="285" spans="1:33">
      <c r="A285" s="433" t="s">
        <v>79</v>
      </c>
      <c r="B285" s="434" t="s">
        <v>595</v>
      </c>
      <c r="C285" s="435"/>
      <c r="D285" s="436">
        <v>199263</v>
      </c>
      <c r="E285" s="437">
        <v>10</v>
      </c>
      <c r="F285" s="571">
        <f t="shared" si="19"/>
        <v>12703</v>
      </c>
      <c r="G285" s="555">
        <f t="shared" si="20"/>
        <v>11223</v>
      </c>
      <c r="H285" s="380">
        <v>4921</v>
      </c>
      <c r="I285" s="381">
        <v>3768</v>
      </c>
      <c r="J285" s="380">
        <v>2957</v>
      </c>
      <c r="K285" s="382">
        <v>1639</v>
      </c>
      <c r="L285" s="380">
        <v>4780</v>
      </c>
      <c r="M285" s="380">
        <v>33</v>
      </c>
      <c r="N285" s="380">
        <v>12</v>
      </c>
      <c r="O285" s="381">
        <v>5771</v>
      </c>
      <c r="P285" s="381">
        <v>45</v>
      </c>
      <c r="Q285" s="382">
        <v>0</v>
      </c>
      <c r="R285" s="365"/>
      <c r="S285" s="367"/>
      <c r="T285" s="573">
        <f t="shared" si="21"/>
        <v>0</v>
      </c>
      <c r="U285" s="574">
        <f t="shared" si="22"/>
        <v>0</v>
      </c>
      <c r="V285" s="365"/>
      <c r="W285" s="366"/>
      <c r="X285" s="368"/>
      <c r="Y285" s="367"/>
      <c r="Z285" s="360"/>
      <c r="AA285" s="365"/>
      <c r="AB285" s="365"/>
      <c r="AC285" s="366"/>
      <c r="AD285" s="366"/>
      <c r="AE285" s="369"/>
      <c r="AF285" s="360"/>
      <c r="AG285" s="366"/>
    </row>
    <row r="286" spans="1:33">
      <c r="A286" s="433" t="s">
        <v>79</v>
      </c>
      <c r="B286" s="434" t="s">
        <v>596</v>
      </c>
      <c r="C286" s="435"/>
      <c r="D286" s="436">
        <v>199324</v>
      </c>
      <c r="E286" s="437">
        <v>10</v>
      </c>
      <c r="F286" s="571">
        <f t="shared" si="19"/>
        <v>55522</v>
      </c>
      <c r="G286" s="555">
        <f t="shared" si="20"/>
        <v>45986</v>
      </c>
      <c r="H286" s="380">
        <v>35368</v>
      </c>
      <c r="I286" s="381">
        <v>26779</v>
      </c>
      <c r="J286" s="380">
        <v>4487</v>
      </c>
      <c r="K286" s="382">
        <v>1536</v>
      </c>
      <c r="L286" s="380">
        <v>12729</v>
      </c>
      <c r="M286" s="380">
        <v>2908</v>
      </c>
      <c r="N286" s="380">
        <v>30</v>
      </c>
      <c r="O286" s="381">
        <v>14677</v>
      </c>
      <c r="P286" s="381">
        <v>2994</v>
      </c>
      <c r="Q286" s="382">
        <v>0</v>
      </c>
      <c r="R286" s="365"/>
      <c r="S286" s="367"/>
      <c r="T286" s="573">
        <f t="shared" si="21"/>
        <v>0</v>
      </c>
      <c r="U286" s="574">
        <f t="shared" si="22"/>
        <v>0</v>
      </c>
      <c r="V286" s="365"/>
      <c r="W286" s="366"/>
      <c r="X286" s="368"/>
      <c r="Y286" s="367"/>
      <c r="Z286" s="360"/>
      <c r="AA286" s="365"/>
      <c r="AB286" s="365"/>
      <c r="AC286" s="366"/>
      <c r="AD286" s="366"/>
      <c r="AE286" s="369"/>
      <c r="AF286" s="360"/>
      <c r="AG286" s="366"/>
    </row>
    <row r="287" spans="1:33">
      <c r="A287" s="433" t="s">
        <v>79</v>
      </c>
      <c r="B287" s="434" t="s">
        <v>597</v>
      </c>
      <c r="C287" s="435"/>
      <c r="D287" s="436">
        <v>199449</v>
      </c>
      <c r="E287" s="437">
        <v>10</v>
      </c>
      <c r="F287" s="571">
        <f t="shared" si="19"/>
        <v>40043</v>
      </c>
      <c r="G287" s="555">
        <f t="shared" si="20"/>
        <v>51284</v>
      </c>
      <c r="H287" s="380">
        <v>34416</v>
      </c>
      <c r="I287" s="381">
        <v>37511</v>
      </c>
      <c r="J287" s="380">
        <v>527</v>
      </c>
      <c r="K287" s="382">
        <v>1340</v>
      </c>
      <c r="L287" s="380">
        <v>5049</v>
      </c>
      <c r="M287" s="380">
        <v>51</v>
      </c>
      <c r="N287" s="380">
        <v>0</v>
      </c>
      <c r="O287" s="381">
        <v>12433</v>
      </c>
      <c r="P287" s="381">
        <v>0</v>
      </c>
      <c r="Q287" s="382">
        <v>0</v>
      </c>
      <c r="R287" s="365"/>
      <c r="S287" s="367"/>
      <c r="T287" s="573">
        <f t="shared" si="21"/>
        <v>0</v>
      </c>
      <c r="U287" s="574">
        <f t="shared" si="22"/>
        <v>0</v>
      </c>
      <c r="V287" s="365"/>
      <c r="W287" s="366"/>
      <c r="X287" s="368"/>
      <c r="Y287" s="367"/>
      <c r="Z287" s="360"/>
      <c r="AA287" s="365"/>
      <c r="AB287" s="365"/>
      <c r="AC287" s="366"/>
      <c r="AD287" s="366"/>
      <c r="AE287" s="369"/>
      <c r="AF287" s="360"/>
      <c r="AG287" s="366"/>
    </row>
    <row r="288" spans="1:33">
      <c r="A288" s="433" t="s">
        <v>79</v>
      </c>
      <c r="B288" s="434" t="s">
        <v>598</v>
      </c>
      <c r="C288" s="435"/>
      <c r="D288" s="436">
        <v>199467</v>
      </c>
      <c r="E288" s="437">
        <v>10</v>
      </c>
      <c r="F288" s="571">
        <f t="shared" si="19"/>
        <v>17878</v>
      </c>
      <c r="G288" s="555">
        <f t="shared" si="20"/>
        <v>18730</v>
      </c>
      <c r="H288" s="380">
        <v>12966</v>
      </c>
      <c r="I288" s="381">
        <v>12581</v>
      </c>
      <c r="J288" s="380">
        <v>1544</v>
      </c>
      <c r="K288" s="382">
        <v>715</v>
      </c>
      <c r="L288" s="380">
        <v>3290</v>
      </c>
      <c r="M288" s="380">
        <v>78</v>
      </c>
      <c r="N288" s="380">
        <v>0</v>
      </c>
      <c r="O288" s="381">
        <v>5344</v>
      </c>
      <c r="P288" s="381">
        <v>90</v>
      </c>
      <c r="Q288" s="382">
        <v>0</v>
      </c>
      <c r="R288" s="365"/>
      <c r="S288" s="367"/>
      <c r="T288" s="573">
        <f t="shared" si="21"/>
        <v>0</v>
      </c>
      <c r="U288" s="574">
        <f t="shared" si="22"/>
        <v>0</v>
      </c>
      <c r="V288" s="365"/>
      <c r="W288" s="366"/>
      <c r="X288" s="368"/>
      <c r="Y288" s="367"/>
      <c r="Z288" s="360"/>
      <c r="AA288" s="365"/>
      <c r="AB288" s="365"/>
      <c r="AC288" s="366"/>
      <c r="AD288" s="366"/>
      <c r="AE288" s="369"/>
      <c r="AF288" s="360"/>
      <c r="AG288" s="366"/>
    </row>
    <row r="289" spans="1:33">
      <c r="A289" s="433" t="s">
        <v>79</v>
      </c>
      <c r="B289" s="434" t="s">
        <v>599</v>
      </c>
      <c r="C289" s="435"/>
      <c r="D289" s="436">
        <v>199485</v>
      </c>
      <c r="E289" s="437">
        <v>10</v>
      </c>
      <c r="F289" s="571">
        <f t="shared" si="19"/>
        <v>53407</v>
      </c>
      <c r="G289" s="555">
        <f t="shared" si="20"/>
        <v>51175</v>
      </c>
      <c r="H289" s="380">
        <v>48837</v>
      </c>
      <c r="I289" s="381">
        <v>40964</v>
      </c>
      <c r="J289" s="380">
        <v>0</v>
      </c>
      <c r="K289" s="382">
        <v>0</v>
      </c>
      <c r="L289" s="380">
        <v>4441</v>
      </c>
      <c r="M289" s="380">
        <v>60</v>
      </c>
      <c r="N289" s="380">
        <v>69</v>
      </c>
      <c r="O289" s="381">
        <v>10052</v>
      </c>
      <c r="P289" s="381">
        <v>111</v>
      </c>
      <c r="Q289" s="382">
        <v>48</v>
      </c>
      <c r="R289" s="365"/>
      <c r="S289" s="367"/>
      <c r="T289" s="573">
        <f t="shared" si="21"/>
        <v>0</v>
      </c>
      <c r="U289" s="574">
        <f t="shared" si="22"/>
        <v>0</v>
      </c>
      <c r="V289" s="365"/>
      <c r="W289" s="366"/>
      <c r="X289" s="368"/>
      <c r="Y289" s="367"/>
      <c r="Z289" s="365"/>
      <c r="AA289" s="365"/>
      <c r="AB289" s="365"/>
      <c r="AC289" s="366"/>
      <c r="AD289" s="366"/>
      <c r="AE289" s="367"/>
      <c r="AF289" s="365"/>
      <c r="AG289" s="366"/>
    </row>
    <row r="290" spans="1:33">
      <c r="A290" s="433" t="s">
        <v>79</v>
      </c>
      <c r="B290" s="434" t="s">
        <v>600</v>
      </c>
      <c r="C290" s="435"/>
      <c r="D290" s="436">
        <v>199625</v>
      </c>
      <c r="E290" s="437">
        <v>10</v>
      </c>
      <c r="F290" s="571">
        <f t="shared" si="19"/>
        <v>33561</v>
      </c>
      <c r="G290" s="555">
        <f t="shared" si="20"/>
        <v>32146</v>
      </c>
      <c r="H290" s="380">
        <v>29268</v>
      </c>
      <c r="I290" s="381">
        <v>25333</v>
      </c>
      <c r="J290" s="380">
        <v>599</v>
      </c>
      <c r="K290" s="382">
        <v>433</v>
      </c>
      <c r="L290" s="380">
        <v>3043</v>
      </c>
      <c r="M290" s="380">
        <v>651</v>
      </c>
      <c r="N290" s="380">
        <v>0</v>
      </c>
      <c r="O290" s="381">
        <v>5673</v>
      </c>
      <c r="P290" s="381">
        <v>707</v>
      </c>
      <c r="Q290" s="382">
        <v>0</v>
      </c>
      <c r="R290" s="365"/>
      <c r="S290" s="367"/>
      <c r="T290" s="573">
        <f t="shared" si="21"/>
        <v>0</v>
      </c>
      <c r="U290" s="574">
        <f t="shared" si="22"/>
        <v>0</v>
      </c>
      <c r="V290" s="365"/>
      <c r="W290" s="366"/>
      <c r="X290" s="368"/>
      <c r="Y290" s="367"/>
      <c r="Z290" s="365"/>
      <c r="AA290" s="365"/>
      <c r="AB290" s="365"/>
      <c r="AC290" s="366"/>
      <c r="AD290" s="366"/>
      <c r="AE290" s="367"/>
      <c r="AF290" s="365"/>
      <c r="AG290" s="366"/>
    </row>
    <row r="291" spans="1:33">
      <c r="A291" s="433" t="s">
        <v>79</v>
      </c>
      <c r="B291" s="434" t="s">
        <v>601</v>
      </c>
      <c r="C291" s="435"/>
      <c r="D291" s="436">
        <v>197850</v>
      </c>
      <c r="E291" s="437">
        <v>10</v>
      </c>
      <c r="F291" s="571">
        <f t="shared" si="19"/>
        <v>53273</v>
      </c>
      <c r="G291" s="555">
        <f t="shared" si="20"/>
        <v>48972</v>
      </c>
      <c r="H291" s="380">
        <v>31275</v>
      </c>
      <c r="I291" s="381">
        <v>25398</v>
      </c>
      <c r="J291" s="380">
        <v>2967</v>
      </c>
      <c r="K291" s="382">
        <v>1999</v>
      </c>
      <c r="L291" s="380">
        <v>18532</v>
      </c>
      <c r="M291" s="380">
        <v>499</v>
      </c>
      <c r="N291" s="380">
        <v>0</v>
      </c>
      <c r="O291" s="381">
        <v>21224</v>
      </c>
      <c r="P291" s="381">
        <v>351</v>
      </c>
      <c r="Q291" s="382">
        <v>0</v>
      </c>
      <c r="R291" s="365"/>
      <c r="S291" s="367"/>
      <c r="T291" s="573">
        <f t="shared" si="21"/>
        <v>0</v>
      </c>
      <c r="U291" s="574">
        <f t="shared" si="22"/>
        <v>0</v>
      </c>
      <c r="V291" s="365"/>
      <c r="W291" s="366"/>
      <c r="X291" s="368"/>
      <c r="Y291" s="367"/>
      <c r="Z291" s="365"/>
      <c r="AA291" s="365"/>
      <c r="AB291" s="365"/>
      <c r="AC291" s="366"/>
      <c r="AD291" s="366"/>
      <c r="AE291" s="367"/>
      <c r="AF291" s="365"/>
      <c r="AG291" s="366"/>
    </row>
    <row r="292" spans="1:33">
      <c r="A292" s="433" t="s">
        <v>79</v>
      </c>
      <c r="B292" s="434" t="s">
        <v>602</v>
      </c>
      <c r="C292" s="435"/>
      <c r="D292" s="436">
        <v>199722</v>
      </c>
      <c r="E292" s="437">
        <v>10</v>
      </c>
      <c r="F292" s="571">
        <f t="shared" si="19"/>
        <v>49508</v>
      </c>
      <c r="G292" s="555">
        <f t="shared" si="20"/>
        <v>46421</v>
      </c>
      <c r="H292" s="380">
        <v>31608</v>
      </c>
      <c r="I292" s="381">
        <v>29510</v>
      </c>
      <c r="J292" s="380">
        <v>720</v>
      </c>
      <c r="K292" s="382">
        <v>763</v>
      </c>
      <c r="L292" s="380">
        <v>16788</v>
      </c>
      <c r="M292" s="380">
        <v>392</v>
      </c>
      <c r="N292" s="380">
        <v>0</v>
      </c>
      <c r="O292" s="381">
        <v>15806</v>
      </c>
      <c r="P292" s="381">
        <v>342</v>
      </c>
      <c r="Q292" s="382">
        <v>0</v>
      </c>
      <c r="R292" s="365"/>
      <c r="S292" s="367"/>
      <c r="T292" s="573">
        <f t="shared" si="21"/>
        <v>0</v>
      </c>
      <c r="U292" s="574">
        <f t="shared" si="22"/>
        <v>0</v>
      </c>
      <c r="V292" s="365"/>
      <c r="W292" s="366"/>
      <c r="X292" s="368"/>
      <c r="Y292" s="367"/>
      <c r="Z292" s="365"/>
      <c r="AA292" s="365"/>
      <c r="AB292" s="365"/>
      <c r="AC292" s="366"/>
      <c r="AD292" s="366"/>
      <c r="AE292" s="367"/>
      <c r="AF292" s="365"/>
      <c r="AG292" s="366"/>
    </row>
    <row r="293" spans="1:33">
      <c r="A293" s="433" t="s">
        <v>79</v>
      </c>
      <c r="B293" s="434" t="s">
        <v>603</v>
      </c>
      <c r="C293" s="435"/>
      <c r="D293" s="436">
        <v>199731</v>
      </c>
      <c r="E293" s="437">
        <v>10</v>
      </c>
      <c r="F293" s="571">
        <f t="shared" si="19"/>
        <v>55269</v>
      </c>
      <c r="G293" s="555">
        <f t="shared" si="20"/>
        <v>54032</v>
      </c>
      <c r="H293" s="380">
        <v>35483</v>
      </c>
      <c r="I293" s="381">
        <v>27254</v>
      </c>
      <c r="J293" s="380">
        <v>3177</v>
      </c>
      <c r="K293" s="382">
        <v>2940</v>
      </c>
      <c r="L293" s="380">
        <v>14435</v>
      </c>
      <c r="M293" s="380">
        <v>2174</v>
      </c>
      <c r="N293" s="380">
        <v>0</v>
      </c>
      <c r="O293" s="381">
        <v>21948</v>
      </c>
      <c r="P293" s="381">
        <v>1890</v>
      </c>
      <c r="Q293" s="382">
        <v>0</v>
      </c>
      <c r="R293" s="365"/>
      <c r="S293" s="367"/>
      <c r="T293" s="573">
        <f t="shared" si="21"/>
        <v>0</v>
      </c>
      <c r="U293" s="574">
        <f t="shared" si="22"/>
        <v>0</v>
      </c>
      <c r="V293" s="365"/>
      <c r="W293" s="366"/>
      <c r="X293" s="368"/>
      <c r="Y293" s="367"/>
      <c r="Z293" s="365"/>
      <c r="AA293" s="365"/>
      <c r="AB293" s="365"/>
      <c r="AC293" s="366"/>
      <c r="AD293" s="366"/>
      <c r="AE293" s="367"/>
      <c r="AF293" s="365"/>
      <c r="AG293" s="366"/>
    </row>
    <row r="294" spans="1:33">
      <c r="A294" s="433" t="s">
        <v>79</v>
      </c>
      <c r="B294" s="434" t="s">
        <v>604</v>
      </c>
      <c r="C294" s="435"/>
      <c r="D294" s="436">
        <v>199795</v>
      </c>
      <c r="E294" s="437">
        <v>10</v>
      </c>
      <c r="F294" s="571">
        <f t="shared" si="19"/>
        <v>29859</v>
      </c>
      <c r="G294" s="555">
        <f t="shared" si="20"/>
        <v>29974</v>
      </c>
      <c r="H294" s="380">
        <v>18499</v>
      </c>
      <c r="I294" s="381">
        <v>13360</v>
      </c>
      <c r="J294" s="380">
        <v>1081</v>
      </c>
      <c r="K294" s="382">
        <v>755</v>
      </c>
      <c r="L294" s="380">
        <v>9760</v>
      </c>
      <c r="M294" s="380">
        <v>519</v>
      </c>
      <c r="N294" s="380">
        <v>0</v>
      </c>
      <c r="O294" s="381">
        <v>15287</v>
      </c>
      <c r="P294" s="381">
        <v>572</v>
      </c>
      <c r="Q294" s="382">
        <v>0</v>
      </c>
      <c r="R294" s="365"/>
      <c r="S294" s="367"/>
      <c r="T294" s="573">
        <f t="shared" si="21"/>
        <v>0</v>
      </c>
      <c r="U294" s="574">
        <f t="shared" si="22"/>
        <v>0</v>
      </c>
      <c r="V294" s="365"/>
      <c r="W294" s="366"/>
      <c r="X294" s="368"/>
      <c r="Y294" s="367"/>
      <c r="Z294" s="365"/>
      <c r="AA294" s="365"/>
      <c r="AB294" s="365"/>
      <c r="AC294" s="366"/>
      <c r="AD294" s="366"/>
      <c r="AE294" s="367"/>
      <c r="AF294" s="365"/>
      <c r="AG294" s="366"/>
    </row>
    <row r="295" spans="1:33">
      <c r="A295" s="433" t="s">
        <v>79</v>
      </c>
      <c r="B295" s="434" t="s">
        <v>605</v>
      </c>
      <c r="C295" s="435"/>
      <c r="D295" s="436">
        <v>199953</v>
      </c>
      <c r="E295" s="437">
        <v>10</v>
      </c>
      <c r="F295" s="571">
        <f t="shared" si="19"/>
        <v>51984</v>
      </c>
      <c r="G295" s="555">
        <f t="shared" si="20"/>
        <v>47421</v>
      </c>
      <c r="H295" s="380">
        <v>33436</v>
      </c>
      <c r="I295" s="381">
        <v>22913</v>
      </c>
      <c r="J295" s="380">
        <v>1400</v>
      </c>
      <c r="K295" s="382">
        <v>705</v>
      </c>
      <c r="L295" s="380">
        <v>14148</v>
      </c>
      <c r="M295" s="380">
        <v>0</v>
      </c>
      <c r="N295" s="380">
        <v>3000</v>
      </c>
      <c r="O295" s="381">
        <v>20949</v>
      </c>
      <c r="P295" s="381">
        <v>0</v>
      </c>
      <c r="Q295" s="382">
        <v>2854</v>
      </c>
      <c r="R295" s="365"/>
      <c r="S295" s="367"/>
      <c r="T295" s="573">
        <f t="shared" si="21"/>
        <v>0</v>
      </c>
      <c r="U295" s="574">
        <f t="shared" si="22"/>
        <v>0</v>
      </c>
      <c r="V295" s="365"/>
      <c r="W295" s="366"/>
      <c r="X295" s="368"/>
      <c r="Y295" s="367"/>
      <c r="Z295" s="365"/>
      <c r="AA295" s="365"/>
      <c r="AB295" s="365"/>
      <c r="AC295" s="366"/>
      <c r="AD295" s="366"/>
      <c r="AE295" s="367"/>
      <c r="AF295" s="365"/>
      <c r="AG295" s="366"/>
    </row>
    <row r="296" spans="1:33">
      <c r="A296" s="518" t="s">
        <v>80</v>
      </c>
      <c r="B296" s="519" t="s">
        <v>786</v>
      </c>
      <c r="C296" s="520"/>
      <c r="D296" s="521">
        <v>207500</v>
      </c>
      <c r="E296" s="522">
        <v>1</v>
      </c>
      <c r="F296" s="571">
        <f t="shared" si="19"/>
        <v>527383</v>
      </c>
      <c r="G296" s="555">
        <f t="shared" si="20"/>
        <v>542963</v>
      </c>
      <c r="H296" s="523">
        <v>473507</v>
      </c>
      <c r="I296" s="524">
        <v>474471</v>
      </c>
      <c r="J296" s="523">
        <v>2987</v>
      </c>
      <c r="K296" s="525">
        <v>6059</v>
      </c>
      <c r="L296" s="526">
        <v>50077</v>
      </c>
      <c r="M296" s="523">
        <v>156</v>
      </c>
      <c r="N296" s="523">
        <v>656</v>
      </c>
      <c r="O296" s="524">
        <v>60898</v>
      </c>
      <c r="P296" s="524">
        <v>316</v>
      </c>
      <c r="Q296" s="525">
        <v>656</v>
      </c>
      <c r="R296" s="527"/>
      <c r="S296" s="528">
        <v>563</v>
      </c>
      <c r="T296" s="573">
        <f t="shared" si="21"/>
        <v>92405</v>
      </c>
      <c r="U296" s="574">
        <f t="shared" si="22"/>
        <v>94236</v>
      </c>
      <c r="V296" s="529">
        <v>68036</v>
      </c>
      <c r="W296" s="530">
        <v>57912</v>
      </c>
      <c r="X296" s="531">
        <v>12572</v>
      </c>
      <c r="Y296" s="528">
        <v>19766</v>
      </c>
      <c r="Z296" s="527">
        <v>10279</v>
      </c>
      <c r="AA296" s="529">
        <v>225</v>
      </c>
      <c r="AB296" s="529">
        <v>1276</v>
      </c>
      <c r="AC296" s="530">
        <v>13679</v>
      </c>
      <c r="AD296" s="530">
        <v>570</v>
      </c>
      <c r="AE296" s="532">
        <v>2309</v>
      </c>
      <c r="AF296" s="527">
        <v>17</v>
      </c>
      <c r="AG296" s="530"/>
    </row>
    <row r="297" spans="1:33">
      <c r="A297" s="518" t="s">
        <v>80</v>
      </c>
      <c r="B297" s="519" t="s">
        <v>787</v>
      </c>
      <c r="C297" s="520"/>
      <c r="D297" s="521">
        <v>207263</v>
      </c>
      <c r="E297" s="522">
        <v>3</v>
      </c>
      <c r="F297" s="571">
        <f t="shared" si="19"/>
        <v>209439</v>
      </c>
      <c r="G297" s="555">
        <f t="shared" si="20"/>
        <v>207096</v>
      </c>
      <c r="H297" s="523">
        <v>179652</v>
      </c>
      <c r="I297" s="524">
        <v>172794</v>
      </c>
      <c r="J297" s="523"/>
      <c r="K297" s="525"/>
      <c r="L297" s="526">
        <v>28881</v>
      </c>
      <c r="M297" s="523">
        <v>906</v>
      </c>
      <c r="N297" s="523"/>
      <c r="O297" s="524">
        <v>33255</v>
      </c>
      <c r="P297" s="524">
        <v>1047</v>
      </c>
      <c r="Q297" s="525"/>
      <c r="R297" s="527"/>
      <c r="S297" s="528"/>
      <c r="T297" s="573">
        <f t="shared" si="21"/>
        <v>20480</v>
      </c>
      <c r="U297" s="574">
        <f t="shared" si="22"/>
        <v>20260</v>
      </c>
      <c r="V297" s="529">
        <v>18998</v>
      </c>
      <c r="W297" s="530">
        <v>18033</v>
      </c>
      <c r="X297" s="531"/>
      <c r="Y297" s="528"/>
      <c r="Z297" s="527">
        <v>914</v>
      </c>
      <c r="AA297" s="529">
        <v>568</v>
      </c>
      <c r="AB297" s="529"/>
      <c r="AC297" s="530">
        <v>1831</v>
      </c>
      <c r="AD297" s="530">
        <v>396</v>
      </c>
      <c r="AE297" s="532"/>
      <c r="AF297" s="527"/>
      <c r="AG297" s="530"/>
    </row>
    <row r="298" spans="1:33">
      <c r="A298" s="518" t="s">
        <v>80</v>
      </c>
      <c r="B298" s="519" t="s">
        <v>788</v>
      </c>
      <c r="C298" s="520"/>
      <c r="D298" s="521">
        <v>206941</v>
      </c>
      <c r="E298" s="522">
        <v>3</v>
      </c>
      <c r="F298" s="571">
        <f t="shared" si="19"/>
        <v>361155</v>
      </c>
      <c r="G298" s="555">
        <f t="shared" si="20"/>
        <v>373521</v>
      </c>
      <c r="H298" s="523">
        <v>342653</v>
      </c>
      <c r="I298" s="524">
        <v>336270</v>
      </c>
      <c r="J298" s="523">
        <v>1931</v>
      </c>
      <c r="K298" s="525">
        <v>4355</v>
      </c>
      <c r="L298" s="526">
        <v>14554</v>
      </c>
      <c r="M298" s="523">
        <v>219</v>
      </c>
      <c r="N298" s="523">
        <v>1798</v>
      </c>
      <c r="O298" s="524">
        <v>29082</v>
      </c>
      <c r="P298" s="524">
        <v>150</v>
      </c>
      <c r="Q298" s="525">
        <v>3664</v>
      </c>
      <c r="R298" s="527"/>
      <c r="S298" s="528"/>
      <c r="T298" s="573">
        <f t="shared" si="21"/>
        <v>27571</v>
      </c>
      <c r="U298" s="574">
        <f t="shared" si="22"/>
        <v>28239</v>
      </c>
      <c r="V298" s="529">
        <v>23434</v>
      </c>
      <c r="W298" s="530">
        <v>24735</v>
      </c>
      <c r="X298" s="531">
        <v>1942</v>
      </c>
      <c r="Y298" s="528">
        <v>71</v>
      </c>
      <c r="Z298" s="527">
        <v>1002</v>
      </c>
      <c r="AA298" s="529">
        <v>104</v>
      </c>
      <c r="AB298" s="529">
        <v>1089</v>
      </c>
      <c r="AC298" s="530">
        <v>1391</v>
      </c>
      <c r="AD298" s="530">
        <v>90</v>
      </c>
      <c r="AE298" s="532">
        <v>1952</v>
      </c>
      <c r="AF298" s="527"/>
      <c r="AG298" s="530"/>
    </row>
    <row r="299" spans="1:33">
      <c r="A299" s="518" t="s">
        <v>80</v>
      </c>
      <c r="B299" s="519" t="s">
        <v>789</v>
      </c>
      <c r="C299" s="520"/>
      <c r="D299" s="521">
        <v>206914</v>
      </c>
      <c r="E299" s="522">
        <v>5</v>
      </c>
      <c r="F299" s="571">
        <f t="shared" si="19"/>
        <v>138667</v>
      </c>
      <c r="G299" s="555">
        <f t="shared" si="20"/>
        <v>139044</v>
      </c>
      <c r="H299" s="523">
        <v>110587</v>
      </c>
      <c r="I299" s="524">
        <v>107420</v>
      </c>
      <c r="J299" s="523">
        <v>1603</v>
      </c>
      <c r="K299" s="525">
        <v>2911</v>
      </c>
      <c r="L299" s="526">
        <v>17009</v>
      </c>
      <c r="M299" s="523">
        <v>9468</v>
      </c>
      <c r="N299" s="523"/>
      <c r="O299" s="524">
        <v>19017</v>
      </c>
      <c r="P299" s="524">
        <v>9696</v>
      </c>
      <c r="Q299" s="525"/>
      <c r="R299" s="527"/>
      <c r="S299" s="528"/>
      <c r="T299" s="573">
        <f t="shared" si="21"/>
        <v>6920</v>
      </c>
      <c r="U299" s="574">
        <f t="shared" si="22"/>
        <v>7449</v>
      </c>
      <c r="V299" s="529">
        <v>3224</v>
      </c>
      <c r="W299" s="530">
        <v>3567</v>
      </c>
      <c r="X299" s="531"/>
      <c r="Y299" s="528"/>
      <c r="Z299" s="527">
        <v>2406</v>
      </c>
      <c r="AA299" s="529">
        <v>1290</v>
      </c>
      <c r="AB299" s="529"/>
      <c r="AC299" s="530">
        <v>2508</v>
      </c>
      <c r="AD299" s="530">
        <v>1374</v>
      </c>
      <c r="AE299" s="532"/>
      <c r="AF299" s="527"/>
      <c r="AG299" s="530"/>
    </row>
    <row r="300" spans="1:33">
      <c r="A300" s="518" t="s">
        <v>80</v>
      </c>
      <c r="B300" s="519" t="s">
        <v>790</v>
      </c>
      <c r="C300" s="520"/>
      <c r="D300" s="521">
        <v>207041</v>
      </c>
      <c r="E300" s="522">
        <v>5</v>
      </c>
      <c r="F300" s="571">
        <f t="shared" si="19"/>
        <v>106266</v>
      </c>
      <c r="G300" s="555">
        <f t="shared" si="20"/>
        <v>106761</v>
      </c>
      <c r="H300" s="523">
        <v>89628</v>
      </c>
      <c r="I300" s="524">
        <v>89844</v>
      </c>
      <c r="J300" s="523">
        <v>71</v>
      </c>
      <c r="K300" s="525">
        <v>426</v>
      </c>
      <c r="L300" s="526">
        <v>7854</v>
      </c>
      <c r="M300" s="523">
        <v>3563</v>
      </c>
      <c r="N300" s="523">
        <v>5150</v>
      </c>
      <c r="O300" s="524">
        <v>8521</v>
      </c>
      <c r="P300" s="524">
        <v>3560</v>
      </c>
      <c r="Q300" s="525">
        <v>4410</v>
      </c>
      <c r="R300" s="527"/>
      <c r="S300" s="528"/>
      <c r="T300" s="573">
        <f t="shared" si="21"/>
        <v>15849</v>
      </c>
      <c r="U300" s="574">
        <f t="shared" si="22"/>
        <v>15756</v>
      </c>
      <c r="V300" s="529">
        <v>5596</v>
      </c>
      <c r="W300" s="530">
        <v>5779</v>
      </c>
      <c r="X300" s="531">
        <v>504</v>
      </c>
      <c r="Y300" s="528">
        <v>462</v>
      </c>
      <c r="Z300" s="527">
        <v>7742</v>
      </c>
      <c r="AA300" s="529">
        <v>1410</v>
      </c>
      <c r="AB300" s="529">
        <v>597</v>
      </c>
      <c r="AC300" s="530">
        <v>7160</v>
      </c>
      <c r="AD300" s="530">
        <v>1641</v>
      </c>
      <c r="AE300" s="532">
        <v>714</v>
      </c>
      <c r="AF300" s="527"/>
      <c r="AG300" s="530"/>
    </row>
    <row r="301" spans="1:33">
      <c r="A301" s="518" t="s">
        <v>80</v>
      </c>
      <c r="B301" s="519" t="s">
        <v>791</v>
      </c>
      <c r="C301" s="520"/>
      <c r="D301" s="521">
        <v>207209</v>
      </c>
      <c r="E301" s="522">
        <v>5</v>
      </c>
      <c r="F301" s="571">
        <f t="shared" si="19"/>
        <v>62125</v>
      </c>
      <c r="G301" s="555">
        <f t="shared" si="20"/>
        <v>62132</v>
      </c>
      <c r="H301" s="523">
        <v>61293</v>
      </c>
      <c r="I301" s="524">
        <v>61185</v>
      </c>
      <c r="J301" s="523"/>
      <c r="K301" s="525">
        <v>162</v>
      </c>
      <c r="L301" s="526">
        <v>322</v>
      </c>
      <c r="M301" s="523">
        <v>510</v>
      </c>
      <c r="N301" s="523"/>
      <c r="O301" s="524">
        <v>520</v>
      </c>
      <c r="P301" s="524">
        <v>265</v>
      </c>
      <c r="Q301" s="525"/>
      <c r="R301" s="527"/>
      <c r="S301" s="528"/>
      <c r="T301" s="573">
        <f t="shared" si="21"/>
        <v>8632</v>
      </c>
      <c r="U301" s="574">
        <f t="shared" si="22"/>
        <v>9995</v>
      </c>
      <c r="V301" s="529">
        <v>7696</v>
      </c>
      <c r="W301" s="530">
        <v>9032</v>
      </c>
      <c r="X301" s="531"/>
      <c r="Y301" s="528"/>
      <c r="Z301" s="527">
        <v>786</v>
      </c>
      <c r="AA301" s="529">
        <v>150</v>
      </c>
      <c r="AB301" s="529"/>
      <c r="AC301" s="530">
        <v>882</v>
      </c>
      <c r="AD301" s="530">
        <v>81</v>
      </c>
      <c r="AE301" s="532"/>
      <c r="AF301" s="527"/>
      <c r="AG301" s="530"/>
    </row>
    <row r="302" spans="1:33">
      <c r="A302" s="518" t="s">
        <v>80</v>
      </c>
      <c r="B302" s="519" t="s">
        <v>792</v>
      </c>
      <c r="C302" s="520"/>
      <c r="D302" s="521">
        <v>207306</v>
      </c>
      <c r="E302" s="522">
        <v>5</v>
      </c>
      <c r="F302" s="571">
        <f t="shared" si="19"/>
        <v>53520</v>
      </c>
      <c r="G302" s="555">
        <f t="shared" si="20"/>
        <v>52469</v>
      </c>
      <c r="H302" s="523">
        <v>38882</v>
      </c>
      <c r="I302" s="524">
        <v>39001</v>
      </c>
      <c r="J302" s="523">
        <v>162</v>
      </c>
      <c r="K302" s="525">
        <v>138</v>
      </c>
      <c r="L302" s="526">
        <v>4947</v>
      </c>
      <c r="M302" s="523">
        <v>9124</v>
      </c>
      <c r="N302" s="523">
        <v>405</v>
      </c>
      <c r="O302" s="524">
        <v>5053</v>
      </c>
      <c r="P302" s="524">
        <v>8277</v>
      </c>
      <c r="Q302" s="525"/>
      <c r="R302" s="527"/>
      <c r="S302" s="528"/>
      <c r="T302" s="573">
        <f t="shared" si="21"/>
        <v>2648</v>
      </c>
      <c r="U302" s="574">
        <f t="shared" si="22"/>
        <v>2309</v>
      </c>
      <c r="V302" s="529">
        <v>1443</v>
      </c>
      <c r="W302" s="530">
        <v>1303</v>
      </c>
      <c r="X302" s="531">
        <v>5</v>
      </c>
      <c r="Y302" s="528">
        <v>2</v>
      </c>
      <c r="Z302" s="527">
        <v>204</v>
      </c>
      <c r="AA302" s="529">
        <v>996</v>
      </c>
      <c r="AB302" s="529"/>
      <c r="AC302" s="530">
        <v>206</v>
      </c>
      <c r="AD302" s="530">
        <v>798</v>
      </c>
      <c r="AE302" s="532"/>
      <c r="AF302" s="527"/>
      <c r="AG302" s="530"/>
    </row>
    <row r="303" spans="1:33">
      <c r="A303" s="518" t="s">
        <v>80</v>
      </c>
      <c r="B303" s="519" t="s">
        <v>793</v>
      </c>
      <c r="C303" s="541" t="s">
        <v>816</v>
      </c>
      <c r="D303" s="521">
        <v>207847</v>
      </c>
      <c r="E303" s="522">
        <v>5</v>
      </c>
      <c r="F303" s="571">
        <f t="shared" si="19"/>
        <v>99728</v>
      </c>
      <c r="G303" s="555">
        <f t="shared" si="20"/>
        <v>97592</v>
      </c>
      <c r="H303" s="523">
        <v>71663</v>
      </c>
      <c r="I303" s="524">
        <v>67649</v>
      </c>
      <c r="J303" s="523">
        <v>792</v>
      </c>
      <c r="K303" s="525"/>
      <c r="L303" s="526">
        <v>22514</v>
      </c>
      <c r="M303" s="523">
        <v>1831</v>
      </c>
      <c r="N303" s="523">
        <v>2928</v>
      </c>
      <c r="O303" s="524">
        <v>24179</v>
      </c>
      <c r="P303" s="524">
        <v>5764</v>
      </c>
      <c r="Q303" s="525"/>
      <c r="R303" s="527"/>
      <c r="S303" s="528"/>
      <c r="T303" s="573">
        <f t="shared" si="21"/>
        <v>5841</v>
      </c>
      <c r="U303" s="574">
        <f t="shared" si="22"/>
        <v>6177</v>
      </c>
      <c r="V303" s="529">
        <v>3549</v>
      </c>
      <c r="W303" s="530">
        <v>4550</v>
      </c>
      <c r="X303" s="531">
        <v>219</v>
      </c>
      <c r="Y303" s="528"/>
      <c r="Z303" s="527">
        <v>1452</v>
      </c>
      <c r="AA303" s="529">
        <v>285</v>
      </c>
      <c r="AB303" s="529">
        <v>336</v>
      </c>
      <c r="AC303" s="530">
        <v>1390</v>
      </c>
      <c r="AD303" s="530">
        <v>237</v>
      </c>
      <c r="AE303" s="532"/>
      <c r="AF303" s="527"/>
      <c r="AG303" s="530"/>
    </row>
    <row r="304" spans="1:33">
      <c r="A304" s="518" t="s">
        <v>80</v>
      </c>
      <c r="B304" s="519" t="s">
        <v>794</v>
      </c>
      <c r="C304" s="520"/>
      <c r="D304" s="521">
        <v>207865</v>
      </c>
      <c r="E304" s="522">
        <v>5</v>
      </c>
      <c r="F304" s="571">
        <f t="shared" si="19"/>
        <v>124302</v>
      </c>
      <c r="G304" s="555">
        <f t="shared" si="20"/>
        <v>124777</v>
      </c>
      <c r="H304" s="523">
        <v>112608</v>
      </c>
      <c r="I304" s="524">
        <v>110061</v>
      </c>
      <c r="J304" s="523">
        <v>1283</v>
      </c>
      <c r="K304" s="525">
        <v>1566</v>
      </c>
      <c r="L304" s="526">
        <v>7054</v>
      </c>
      <c r="M304" s="523">
        <v>1788</v>
      </c>
      <c r="N304" s="523">
        <v>1569</v>
      </c>
      <c r="O304" s="524">
        <v>10192</v>
      </c>
      <c r="P304" s="524">
        <v>1707</v>
      </c>
      <c r="Q304" s="525">
        <v>1251</v>
      </c>
      <c r="R304" s="527"/>
      <c r="S304" s="528"/>
      <c r="T304" s="573">
        <f t="shared" si="21"/>
        <v>13777</v>
      </c>
      <c r="U304" s="574">
        <f t="shared" si="22"/>
        <v>14178</v>
      </c>
      <c r="V304" s="529">
        <v>8852</v>
      </c>
      <c r="W304" s="530">
        <v>8985</v>
      </c>
      <c r="X304" s="531"/>
      <c r="Y304" s="528">
        <v>10</v>
      </c>
      <c r="Z304" s="527">
        <v>1415</v>
      </c>
      <c r="AA304" s="529">
        <v>3510</v>
      </c>
      <c r="AB304" s="529"/>
      <c r="AC304" s="530">
        <v>1292</v>
      </c>
      <c r="AD304" s="530">
        <v>3891</v>
      </c>
      <c r="AE304" s="532"/>
      <c r="AF304" s="527"/>
      <c r="AG304" s="530"/>
    </row>
    <row r="305" spans="1:33">
      <c r="A305" s="518" t="s">
        <v>80</v>
      </c>
      <c r="B305" s="519" t="s">
        <v>795</v>
      </c>
      <c r="C305" s="520"/>
      <c r="D305" s="521">
        <v>207351</v>
      </c>
      <c r="E305" s="522">
        <v>6</v>
      </c>
      <c r="F305" s="571">
        <f t="shared" si="19"/>
        <v>37412</v>
      </c>
      <c r="G305" s="555">
        <f t="shared" si="20"/>
        <v>39218</v>
      </c>
      <c r="H305" s="523">
        <v>31053</v>
      </c>
      <c r="I305" s="524">
        <v>34003</v>
      </c>
      <c r="J305" s="523"/>
      <c r="K305" s="525"/>
      <c r="L305" s="526">
        <v>6131</v>
      </c>
      <c r="M305" s="523">
        <v>228</v>
      </c>
      <c r="N305" s="523"/>
      <c r="O305" s="524">
        <v>5050</v>
      </c>
      <c r="P305" s="524">
        <v>165</v>
      </c>
      <c r="Q305" s="525"/>
      <c r="R305" s="527"/>
      <c r="S305" s="528"/>
      <c r="T305" s="573">
        <f t="shared" si="21"/>
        <v>0</v>
      </c>
      <c r="U305" s="574">
        <f t="shared" si="22"/>
        <v>0</v>
      </c>
      <c r="V305" s="529"/>
      <c r="W305" s="530"/>
      <c r="X305" s="531"/>
      <c r="Y305" s="528"/>
      <c r="Z305" s="527"/>
      <c r="AA305" s="529"/>
      <c r="AB305" s="529"/>
      <c r="AC305" s="530"/>
      <c r="AD305" s="530"/>
      <c r="AE305" s="532"/>
      <c r="AF305" s="527"/>
      <c r="AG305" s="530"/>
    </row>
    <row r="306" spans="1:33">
      <c r="A306" s="533" t="s">
        <v>80</v>
      </c>
      <c r="B306" s="534" t="s">
        <v>796</v>
      </c>
      <c r="C306" s="520"/>
      <c r="D306" s="535">
        <v>207661</v>
      </c>
      <c r="E306" s="536">
        <v>6</v>
      </c>
      <c r="F306" s="571">
        <f t="shared" si="19"/>
        <v>100335</v>
      </c>
      <c r="G306" s="555">
        <f t="shared" si="20"/>
        <v>104846</v>
      </c>
      <c r="H306" s="523">
        <v>68677</v>
      </c>
      <c r="I306" s="524">
        <v>72813</v>
      </c>
      <c r="J306" s="523">
        <v>2541</v>
      </c>
      <c r="K306" s="525">
        <v>2951</v>
      </c>
      <c r="L306" s="526">
        <v>26138</v>
      </c>
      <c r="M306" s="523">
        <v>2979</v>
      </c>
      <c r="N306" s="523"/>
      <c r="O306" s="524">
        <v>26519</v>
      </c>
      <c r="P306" s="524">
        <v>2563</v>
      </c>
      <c r="Q306" s="525"/>
      <c r="R306" s="527"/>
      <c r="S306" s="528"/>
      <c r="T306" s="573">
        <f t="shared" si="21"/>
        <v>0</v>
      </c>
      <c r="U306" s="574">
        <f t="shared" si="22"/>
        <v>0</v>
      </c>
      <c r="V306" s="529"/>
      <c r="W306" s="530"/>
      <c r="X306" s="531"/>
      <c r="Y306" s="528"/>
      <c r="Z306" s="527"/>
      <c r="AA306" s="529"/>
      <c r="AB306" s="529"/>
      <c r="AC306" s="530"/>
      <c r="AD306" s="530"/>
      <c r="AE306" s="532"/>
      <c r="AF306" s="527"/>
      <c r="AG306" s="530"/>
    </row>
    <row r="307" spans="1:33">
      <c r="A307" s="518" t="s">
        <v>80</v>
      </c>
      <c r="B307" s="519" t="s">
        <v>797</v>
      </c>
      <c r="C307" s="520"/>
      <c r="D307" s="521">
        <v>207722</v>
      </c>
      <c r="E307" s="522">
        <v>6</v>
      </c>
      <c r="F307" s="571">
        <f t="shared" si="19"/>
        <v>31198</v>
      </c>
      <c r="G307" s="555">
        <f t="shared" si="20"/>
        <v>30810</v>
      </c>
      <c r="H307" s="523">
        <v>31086</v>
      </c>
      <c r="I307" s="524">
        <v>30690</v>
      </c>
      <c r="J307" s="523">
        <v>112</v>
      </c>
      <c r="K307" s="525">
        <v>120</v>
      </c>
      <c r="L307" s="526"/>
      <c r="M307" s="523"/>
      <c r="N307" s="523"/>
      <c r="O307" s="524"/>
      <c r="P307" s="524"/>
      <c r="Q307" s="525"/>
      <c r="R307" s="527"/>
      <c r="S307" s="528"/>
      <c r="T307" s="573">
        <f t="shared" si="21"/>
        <v>0</v>
      </c>
      <c r="U307" s="574">
        <f t="shared" si="22"/>
        <v>0</v>
      </c>
      <c r="V307" s="529"/>
      <c r="W307" s="530"/>
      <c r="X307" s="531"/>
      <c r="Y307" s="528"/>
      <c r="Z307" s="527"/>
      <c r="AA307" s="529"/>
      <c r="AB307" s="529"/>
      <c r="AC307" s="530"/>
      <c r="AD307" s="530"/>
      <c r="AE307" s="532"/>
      <c r="AF307" s="527"/>
      <c r="AG307" s="530"/>
    </row>
    <row r="308" spans="1:33">
      <c r="A308" s="533" t="s">
        <v>80</v>
      </c>
      <c r="B308" s="519" t="s">
        <v>798</v>
      </c>
      <c r="C308" s="520"/>
      <c r="D308" s="521">
        <v>207564</v>
      </c>
      <c r="E308" s="522">
        <v>7</v>
      </c>
      <c r="F308" s="571">
        <f t="shared" si="19"/>
        <v>96782</v>
      </c>
      <c r="G308" s="555">
        <f t="shared" si="20"/>
        <v>95815</v>
      </c>
      <c r="H308" s="523">
        <v>78449</v>
      </c>
      <c r="I308" s="524">
        <v>75353</v>
      </c>
      <c r="J308" s="523">
        <v>12372</v>
      </c>
      <c r="K308" s="525">
        <v>10254</v>
      </c>
      <c r="L308" s="526">
        <v>5961</v>
      </c>
      <c r="M308" s="523"/>
      <c r="N308" s="523"/>
      <c r="O308" s="524">
        <v>10208</v>
      </c>
      <c r="P308" s="524"/>
      <c r="Q308" s="525"/>
      <c r="R308" s="527"/>
      <c r="S308" s="528"/>
      <c r="T308" s="573">
        <f t="shared" si="21"/>
        <v>0</v>
      </c>
      <c r="U308" s="574">
        <f t="shared" si="22"/>
        <v>0</v>
      </c>
      <c r="V308" s="529"/>
      <c r="W308" s="530"/>
      <c r="X308" s="531"/>
      <c r="Y308" s="528"/>
      <c r="Z308" s="527"/>
      <c r="AA308" s="529"/>
      <c r="AB308" s="529"/>
      <c r="AC308" s="530"/>
      <c r="AD308" s="530"/>
      <c r="AE308" s="532"/>
      <c r="AF308" s="527"/>
      <c r="AG308" s="530"/>
    </row>
    <row r="309" spans="1:33">
      <c r="A309" s="518" t="s">
        <v>80</v>
      </c>
      <c r="B309" s="519" t="s">
        <v>802</v>
      </c>
      <c r="C309" s="539" t="s">
        <v>812</v>
      </c>
      <c r="D309" s="521">
        <v>207397</v>
      </c>
      <c r="E309" s="540">
        <v>7</v>
      </c>
      <c r="F309" s="571">
        <f t="shared" si="19"/>
        <v>159604</v>
      </c>
      <c r="G309" s="555">
        <f t="shared" si="20"/>
        <v>169257</v>
      </c>
      <c r="H309" s="523">
        <v>108255</v>
      </c>
      <c r="I309" s="524">
        <v>111532</v>
      </c>
      <c r="J309" s="523">
        <v>1945</v>
      </c>
      <c r="K309" s="525">
        <v>5012</v>
      </c>
      <c r="L309" s="526">
        <v>43192</v>
      </c>
      <c r="M309" s="523">
        <v>3256</v>
      </c>
      <c r="N309" s="523">
        <v>2956</v>
      </c>
      <c r="O309" s="524">
        <v>47470</v>
      </c>
      <c r="P309" s="524">
        <v>5170</v>
      </c>
      <c r="Q309" s="525"/>
      <c r="R309" s="527"/>
      <c r="S309" s="528">
        <v>73</v>
      </c>
      <c r="T309" s="573">
        <f t="shared" si="21"/>
        <v>0</v>
      </c>
      <c r="U309" s="574">
        <f t="shared" si="22"/>
        <v>0</v>
      </c>
      <c r="V309" s="529"/>
      <c r="W309" s="530"/>
      <c r="X309" s="531"/>
      <c r="Y309" s="528"/>
      <c r="Z309" s="527"/>
      <c r="AA309" s="529"/>
      <c r="AB309" s="529"/>
      <c r="AC309" s="530"/>
      <c r="AD309" s="530"/>
      <c r="AE309" s="532"/>
      <c r="AF309" s="527"/>
      <c r="AG309" s="530"/>
    </row>
    <row r="310" spans="1:33">
      <c r="A310" s="518" t="s">
        <v>80</v>
      </c>
      <c r="B310" s="537" t="s">
        <v>799</v>
      </c>
      <c r="C310" s="520"/>
      <c r="D310" s="521">
        <v>207449</v>
      </c>
      <c r="E310" s="522">
        <v>8</v>
      </c>
      <c r="F310" s="571">
        <f t="shared" si="19"/>
        <v>291030</v>
      </c>
      <c r="G310" s="555">
        <f t="shared" si="20"/>
        <v>323628</v>
      </c>
      <c r="H310" s="523">
        <v>213599</v>
      </c>
      <c r="I310" s="524">
        <v>189505</v>
      </c>
      <c r="J310" s="523">
        <v>19210</v>
      </c>
      <c r="K310" s="525">
        <v>20424</v>
      </c>
      <c r="L310" s="526">
        <v>42507</v>
      </c>
      <c r="M310" s="523"/>
      <c r="N310" s="523">
        <v>96</v>
      </c>
      <c r="O310" s="524">
        <v>52316</v>
      </c>
      <c r="P310" s="524"/>
      <c r="Q310" s="525">
        <v>60962</v>
      </c>
      <c r="R310" s="527">
        <v>15618</v>
      </c>
      <c r="S310" s="528">
        <v>421</v>
      </c>
      <c r="T310" s="573">
        <f t="shared" si="21"/>
        <v>0</v>
      </c>
      <c r="U310" s="574">
        <f t="shared" si="22"/>
        <v>0</v>
      </c>
      <c r="V310" s="529"/>
      <c r="W310" s="530"/>
      <c r="X310" s="531"/>
      <c r="Y310" s="528"/>
      <c r="Z310" s="527"/>
      <c r="AA310" s="529"/>
      <c r="AB310" s="529"/>
      <c r="AC310" s="530"/>
      <c r="AD310" s="530"/>
      <c r="AE310" s="532"/>
      <c r="AF310" s="527"/>
      <c r="AG310" s="530"/>
    </row>
    <row r="311" spans="1:33">
      <c r="A311" s="518" t="s">
        <v>80</v>
      </c>
      <c r="B311" s="519" t="s">
        <v>803</v>
      </c>
      <c r="C311" s="539" t="s">
        <v>813</v>
      </c>
      <c r="D311" s="521">
        <v>207670</v>
      </c>
      <c r="E311" s="540">
        <v>8</v>
      </c>
      <c r="F311" s="571">
        <f t="shared" si="19"/>
        <v>167587</v>
      </c>
      <c r="G311" s="555">
        <f t="shared" si="20"/>
        <v>162006</v>
      </c>
      <c r="H311" s="523">
        <v>124708</v>
      </c>
      <c r="I311" s="524">
        <v>121773</v>
      </c>
      <c r="J311" s="523">
        <v>9862</v>
      </c>
      <c r="K311" s="525">
        <v>5722</v>
      </c>
      <c r="L311" s="526">
        <v>29544</v>
      </c>
      <c r="M311" s="523">
        <v>404</v>
      </c>
      <c r="N311" s="523">
        <v>3069</v>
      </c>
      <c r="O311" s="524">
        <v>31677</v>
      </c>
      <c r="P311" s="524">
        <v>169</v>
      </c>
      <c r="Q311" s="525">
        <v>2665</v>
      </c>
      <c r="R311" s="527"/>
      <c r="S311" s="528"/>
      <c r="T311" s="573">
        <f t="shared" si="21"/>
        <v>0</v>
      </c>
      <c r="U311" s="574">
        <f t="shared" si="22"/>
        <v>0</v>
      </c>
      <c r="V311" s="529"/>
      <c r="W311" s="530"/>
      <c r="X311" s="531"/>
      <c r="Y311" s="528"/>
      <c r="Z311" s="527"/>
      <c r="AA311" s="529"/>
      <c r="AB311" s="529"/>
      <c r="AC311" s="530"/>
      <c r="AD311" s="530"/>
      <c r="AE311" s="532"/>
      <c r="AF311" s="527"/>
      <c r="AG311" s="530"/>
    </row>
    <row r="312" spans="1:33">
      <c r="A312" s="518" t="s">
        <v>80</v>
      </c>
      <c r="B312" s="519" t="s">
        <v>800</v>
      </c>
      <c r="C312" s="541"/>
      <c r="D312" s="521">
        <v>207935</v>
      </c>
      <c r="E312" s="522">
        <v>8</v>
      </c>
      <c r="F312" s="571">
        <f t="shared" si="19"/>
        <v>355979</v>
      </c>
      <c r="G312" s="555">
        <f t="shared" si="20"/>
        <v>397010</v>
      </c>
      <c r="H312" s="523">
        <v>275136</v>
      </c>
      <c r="I312" s="524">
        <v>290409</v>
      </c>
      <c r="J312" s="523">
        <v>11756</v>
      </c>
      <c r="K312" s="525">
        <v>18548</v>
      </c>
      <c r="L312" s="526">
        <v>69087</v>
      </c>
      <c r="M312" s="523"/>
      <c r="N312" s="523"/>
      <c r="O312" s="524">
        <v>88053</v>
      </c>
      <c r="P312" s="524"/>
      <c r="Q312" s="525"/>
      <c r="R312" s="527"/>
      <c r="S312" s="528"/>
      <c r="T312" s="573">
        <f t="shared" si="21"/>
        <v>0</v>
      </c>
      <c r="U312" s="574">
        <f t="shared" si="22"/>
        <v>0</v>
      </c>
      <c r="V312" s="529"/>
      <c r="W312" s="530"/>
      <c r="X312" s="531"/>
      <c r="Y312" s="528"/>
      <c r="Z312" s="527"/>
      <c r="AA312" s="529"/>
      <c r="AB312" s="529"/>
      <c r="AC312" s="530"/>
      <c r="AD312" s="530"/>
      <c r="AE312" s="532"/>
      <c r="AF312" s="527"/>
      <c r="AG312" s="530"/>
    </row>
    <row r="313" spans="1:33">
      <c r="A313" s="518" t="s">
        <v>80</v>
      </c>
      <c r="B313" s="537" t="s">
        <v>801</v>
      </c>
      <c r="C313" s="541"/>
      <c r="D313" s="521">
        <v>207281</v>
      </c>
      <c r="E313" s="522">
        <v>9</v>
      </c>
      <c r="F313" s="571">
        <f t="shared" si="19"/>
        <v>112504</v>
      </c>
      <c r="G313" s="555">
        <f t="shared" si="20"/>
        <v>120330</v>
      </c>
      <c r="H313" s="523">
        <v>78870</v>
      </c>
      <c r="I313" s="524">
        <v>82422</v>
      </c>
      <c r="J313" s="523">
        <v>9044</v>
      </c>
      <c r="K313" s="525">
        <v>9788</v>
      </c>
      <c r="L313" s="526">
        <v>8935</v>
      </c>
      <c r="M313" s="523">
        <v>15208</v>
      </c>
      <c r="N313" s="523">
        <v>363</v>
      </c>
      <c r="O313" s="524">
        <v>12089</v>
      </c>
      <c r="P313" s="524">
        <v>15674</v>
      </c>
      <c r="Q313" s="525">
        <v>357</v>
      </c>
      <c r="R313" s="527">
        <v>84</v>
      </c>
      <c r="S313" s="528"/>
      <c r="T313" s="573">
        <f t="shared" si="21"/>
        <v>0</v>
      </c>
      <c r="U313" s="574">
        <f t="shared" si="22"/>
        <v>0</v>
      </c>
      <c r="V313" s="529"/>
      <c r="W313" s="530"/>
      <c r="X313" s="531"/>
      <c r="Y313" s="528"/>
      <c r="Z313" s="527"/>
      <c r="AA313" s="529"/>
      <c r="AB313" s="529"/>
      <c r="AC313" s="530"/>
      <c r="AD313" s="530"/>
      <c r="AE313" s="532"/>
      <c r="AF313" s="527"/>
      <c r="AG313" s="530"/>
    </row>
    <row r="314" spans="1:33">
      <c r="A314" s="518" t="s">
        <v>80</v>
      </c>
      <c r="B314" s="519" t="s">
        <v>804</v>
      </c>
      <c r="C314" s="538" t="s">
        <v>814</v>
      </c>
      <c r="D314" s="521">
        <v>206923</v>
      </c>
      <c r="E314" s="522">
        <v>10</v>
      </c>
      <c r="F314" s="571">
        <f t="shared" si="19"/>
        <v>65407</v>
      </c>
      <c r="G314" s="555">
        <f t="shared" si="20"/>
        <v>63341</v>
      </c>
      <c r="H314" s="523">
        <v>25901</v>
      </c>
      <c r="I314" s="524">
        <v>23647</v>
      </c>
      <c r="J314" s="523">
        <v>31</v>
      </c>
      <c r="K314" s="525"/>
      <c r="L314" s="526">
        <v>14695</v>
      </c>
      <c r="M314" s="523">
        <v>423</v>
      </c>
      <c r="N314" s="523">
        <v>24357</v>
      </c>
      <c r="O314" s="524">
        <v>14516</v>
      </c>
      <c r="P314" s="524">
        <v>177</v>
      </c>
      <c r="Q314" s="525">
        <v>25001</v>
      </c>
      <c r="R314" s="527"/>
      <c r="S314" s="528"/>
      <c r="T314" s="573">
        <f t="shared" si="21"/>
        <v>0</v>
      </c>
      <c r="U314" s="574">
        <f t="shared" si="22"/>
        <v>0</v>
      </c>
      <c r="V314" s="529"/>
      <c r="W314" s="530"/>
      <c r="X314" s="531"/>
      <c r="Y314" s="528"/>
      <c r="Z314" s="527"/>
      <c r="AA314" s="529"/>
      <c r="AB314" s="529"/>
      <c r="AC314" s="530"/>
      <c r="AD314" s="530"/>
      <c r="AE314" s="532"/>
      <c r="AF314" s="527"/>
      <c r="AG314" s="530"/>
    </row>
    <row r="315" spans="1:33">
      <c r="A315" s="518" t="s">
        <v>80</v>
      </c>
      <c r="B315" s="519" t="s">
        <v>805</v>
      </c>
      <c r="C315" s="538"/>
      <c r="D315" s="521">
        <v>206996</v>
      </c>
      <c r="E315" s="522">
        <v>10</v>
      </c>
      <c r="F315" s="571">
        <f t="shared" si="19"/>
        <v>57524</v>
      </c>
      <c r="G315" s="555">
        <f t="shared" si="20"/>
        <v>58495</v>
      </c>
      <c r="H315" s="523">
        <v>38883</v>
      </c>
      <c r="I315" s="524">
        <v>37804</v>
      </c>
      <c r="J315" s="523">
        <v>8563</v>
      </c>
      <c r="K315" s="525">
        <v>9473</v>
      </c>
      <c r="L315" s="526">
        <v>4308</v>
      </c>
      <c r="M315" s="523">
        <v>5770</v>
      </c>
      <c r="N315" s="523"/>
      <c r="O315" s="524">
        <v>4895</v>
      </c>
      <c r="P315" s="524">
        <v>6323</v>
      </c>
      <c r="Q315" s="525"/>
      <c r="R315" s="527"/>
      <c r="S315" s="528"/>
      <c r="T315" s="573">
        <f t="shared" si="21"/>
        <v>0</v>
      </c>
      <c r="U315" s="574">
        <f t="shared" si="22"/>
        <v>0</v>
      </c>
      <c r="V315" s="529"/>
      <c r="W315" s="530"/>
      <c r="X315" s="531"/>
      <c r="Y315" s="528"/>
      <c r="Z315" s="527"/>
      <c r="AA315" s="529"/>
      <c r="AB315" s="529"/>
      <c r="AC315" s="530"/>
      <c r="AD315" s="530"/>
      <c r="AE315" s="532"/>
      <c r="AF315" s="527"/>
      <c r="AG315" s="530"/>
    </row>
    <row r="316" spans="1:33">
      <c r="A316" s="518" t="s">
        <v>80</v>
      </c>
      <c r="B316" s="519" t="s">
        <v>806</v>
      </c>
      <c r="C316" s="538"/>
      <c r="D316" s="521">
        <v>207050</v>
      </c>
      <c r="E316" s="522">
        <v>10</v>
      </c>
      <c r="F316" s="571">
        <f t="shared" si="19"/>
        <v>46267</v>
      </c>
      <c r="G316" s="555">
        <f t="shared" si="20"/>
        <v>45357</v>
      </c>
      <c r="H316" s="523">
        <v>33941</v>
      </c>
      <c r="I316" s="524">
        <v>33741</v>
      </c>
      <c r="J316" s="523">
        <v>3516</v>
      </c>
      <c r="K316" s="525">
        <v>2461</v>
      </c>
      <c r="L316" s="526">
        <v>5352</v>
      </c>
      <c r="M316" s="523">
        <v>3458</v>
      </c>
      <c r="N316" s="523"/>
      <c r="O316" s="524">
        <v>6102</v>
      </c>
      <c r="P316" s="524">
        <v>3053</v>
      </c>
      <c r="Q316" s="525"/>
      <c r="R316" s="527"/>
      <c r="S316" s="528"/>
      <c r="T316" s="573">
        <f t="shared" si="21"/>
        <v>0</v>
      </c>
      <c r="U316" s="574">
        <f t="shared" si="22"/>
        <v>0</v>
      </c>
      <c r="V316" s="529"/>
      <c r="W316" s="530"/>
      <c r="X316" s="531"/>
      <c r="Y316" s="528"/>
      <c r="Z316" s="527"/>
      <c r="AA316" s="529"/>
      <c r="AB316" s="529"/>
      <c r="AC316" s="530"/>
      <c r="AD316" s="530"/>
      <c r="AE316" s="532"/>
      <c r="AF316" s="527"/>
      <c r="AG316" s="530"/>
    </row>
    <row r="317" spans="1:33">
      <c r="A317" s="518" t="s">
        <v>80</v>
      </c>
      <c r="B317" s="519" t="s">
        <v>807</v>
      </c>
      <c r="C317" s="538"/>
      <c r="D317" s="521">
        <v>207236</v>
      </c>
      <c r="E317" s="522">
        <v>10</v>
      </c>
      <c r="F317" s="571">
        <f t="shared" si="19"/>
        <v>60760</v>
      </c>
      <c r="G317" s="555">
        <f t="shared" si="20"/>
        <v>59204</v>
      </c>
      <c r="H317" s="523">
        <v>40625</v>
      </c>
      <c r="I317" s="524">
        <v>37440</v>
      </c>
      <c r="J317" s="523">
        <v>2380</v>
      </c>
      <c r="K317" s="525">
        <v>2772</v>
      </c>
      <c r="L317" s="526">
        <v>10403</v>
      </c>
      <c r="M317" s="523">
        <v>7352</v>
      </c>
      <c r="N317" s="523"/>
      <c r="O317" s="524">
        <v>11207</v>
      </c>
      <c r="P317" s="524">
        <v>7749</v>
      </c>
      <c r="Q317" s="525">
        <v>36</v>
      </c>
      <c r="R317" s="527"/>
      <c r="S317" s="528"/>
      <c r="T317" s="573">
        <f t="shared" si="21"/>
        <v>0</v>
      </c>
      <c r="U317" s="574">
        <f t="shared" si="22"/>
        <v>0</v>
      </c>
      <c r="V317" s="529"/>
      <c r="W317" s="530"/>
      <c r="X317" s="531"/>
      <c r="Y317" s="528"/>
      <c r="Z317" s="527"/>
      <c r="AA317" s="529"/>
      <c r="AB317" s="529"/>
      <c r="AC317" s="530"/>
      <c r="AD317" s="530"/>
      <c r="AE317" s="532"/>
      <c r="AF317" s="527"/>
      <c r="AG317" s="530"/>
    </row>
    <row r="318" spans="1:33">
      <c r="A318" s="518" t="s">
        <v>80</v>
      </c>
      <c r="B318" s="519" t="s">
        <v>808</v>
      </c>
      <c r="C318" s="538" t="s">
        <v>814</v>
      </c>
      <c r="D318" s="521">
        <v>207290</v>
      </c>
      <c r="E318" s="522">
        <v>10</v>
      </c>
      <c r="F318" s="571">
        <f t="shared" si="19"/>
        <v>58870</v>
      </c>
      <c r="G318" s="555">
        <f t="shared" si="20"/>
        <v>63634</v>
      </c>
      <c r="H318" s="523">
        <v>47185</v>
      </c>
      <c r="I318" s="524">
        <v>49728</v>
      </c>
      <c r="J318" s="523">
        <v>1383</v>
      </c>
      <c r="K318" s="525">
        <v>1586</v>
      </c>
      <c r="L318" s="526">
        <v>8689</v>
      </c>
      <c r="M318" s="523">
        <v>1613</v>
      </c>
      <c r="N318" s="523"/>
      <c r="O318" s="524">
        <v>10937</v>
      </c>
      <c r="P318" s="524">
        <v>1383</v>
      </c>
      <c r="Q318" s="525"/>
      <c r="R318" s="527"/>
      <c r="S318" s="528"/>
      <c r="T318" s="573">
        <f t="shared" si="21"/>
        <v>0</v>
      </c>
      <c r="U318" s="574">
        <f t="shared" si="22"/>
        <v>0</v>
      </c>
      <c r="V318" s="529"/>
      <c r="W318" s="530"/>
      <c r="X318" s="531"/>
      <c r="Y318" s="528"/>
      <c r="Z318" s="527"/>
      <c r="AA318" s="529"/>
      <c r="AB318" s="529"/>
      <c r="AC318" s="530"/>
      <c r="AD318" s="530"/>
      <c r="AE318" s="532"/>
      <c r="AF318" s="527"/>
      <c r="AG318" s="530"/>
    </row>
    <row r="319" spans="1:33">
      <c r="A319" s="518" t="s">
        <v>80</v>
      </c>
      <c r="B319" s="519" t="s">
        <v>809</v>
      </c>
      <c r="C319" s="538"/>
      <c r="D319" s="521">
        <v>207069</v>
      </c>
      <c r="E319" s="522">
        <v>10</v>
      </c>
      <c r="F319" s="571">
        <f t="shared" si="19"/>
        <v>49593</v>
      </c>
      <c r="G319" s="555">
        <f t="shared" si="20"/>
        <v>49031</v>
      </c>
      <c r="H319" s="523">
        <v>27215</v>
      </c>
      <c r="I319" s="524">
        <v>25983</v>
      </c>
      <c r="J319" s="523">
        <v>7084</v>
      </c>
      <c r="K319" s="525">
        <v>6878</v>
      </c>
      <c r="L319" s="526">
        <v>13440</v>
      </c>
      <c r="M319" s="523">
        <v>1854</v>
      </c>
      <c r="N319" s="523"/>
      <c r="O319" s="524">
        <v>14415</v>
      </c>
      <c r="P319" s="524">
        <v>1755</v>
      </c>
      <c r="Q319" s="525"/>
      <c r="R319" s="527"/>
      <c r="S319" s="528"/>
      <c r="T319" s="573">
        <f t="shared" si="21"/>
        <v>0</v>
      </c>
      <c r="U319" s="574">
        <f t="shared" si="22"/>
        <v>0</v>
      </c>
      <c r="V319" s="529"/>
      <c r="W319" s="530"/>
      <c r="X319" s="531"/>
      <c r="Y319" s="528"/>
      <c r="Z319" s="527"/>
      <c r="AA319" s="529"/>
      <c r="AB319" s="529"/>
      <c r="AC319" s="530"/>
      <c r="AD319" s="530"/>
      <c r="AE319" s="532"/>
      <c r="AF319" s="527"/>
      <c r="AG319" s="530"/>
    </row>
    <row r="320" spans="1:33">
      <c r="A320" s="518" t="s">
        <v>80</v>
      </c>
      <c r="B320" s="519" t="s">
        <v>810</v>
      </c>
      <c r="C320" s="538"/>
      <c r="D320" s="521">
        <v>207740</v>
      </c>
      <c r="E320" s="522">
        <v>10</v>
      </c>
      <c r="F320" s="571">
        <f t="shared" si="19"/>
        <v>48732</v>
      </c>
      <c r="G320" s="555">
        <f t="shared" si="20"/>
        <v>45684</v>
      </c>
      <c r="H320" s="523">
        <v>34361</v>
      </c>
      <c r="I320" s="524">
        <v>29558</v>
      </c>
      <c r="J320" s="523">
        <v>7030</v>
      </c>
      <c r="K320" s="525">
        <v>7727</v>
      </c>
      <c r="L320" s="526">
        <v>7221</v>
      </c>
      <c r="M320" s="523">
        <v>120</v>
      </c>
      <c r="N320" s="523"/>
      <c r="O320" s="524">
        <v>8288</v>
      </c>
      <c r="P320" s="524">
        <v>111</v>
      </c>
      <c r="Q320" s="525"/>
      <c r="R320" s="527"/>
      <c r="S320" s="528"/>
      <c r="T320" s="573">
        <f t="shared" si="21"/>
        <v>0</v>
      </c>
      <c r="U320" s="574">
        <f t="shared" si="22"/>
        <v>0</v>
      </c>
      <c r="V320" s="529"/>
      <c r="W320" s="530"/>
      <c r="X320" s="531"/>
      <c r="Y320" s="528"/>
      <c r="Z320" s="527"/>
      <c r="AA320" s="529"/>
      <c r="AB320" s="529"/>
      <c r="AC320" s="530"/>
      <c r="AD320" s="530"/>
      <c r="AE320" s="532"/>
      <c r="AF320" s="527"/>
      <c r="AG320" s="530"/>
    </row>
    <row r="321" spans="1:33">
      <c r="A321" s="518" t="s">
        <v>80</v>
      </c>
      <c r="B321" s="519" t="s">
        <v>811</v>
      </c>
      <c r="C321" s="538" t="s">
        <v>815</v>
      </c>
      <c r="D321" s="521">
        <v>208035</v>
      </c>
      <c r="E321" s="522">
        <v>10</v>
      </c>
      <c r="F321" s="571">
        <f t="shared" si="19"/>
        <v>58587</v>
      </c>
      <c r="G321" s="555">
        <f t="shared" si="20"/>
        <v>63048</v>
      </c>
      <c r="H321" s="523">
        <v>21974</v>
      </c>
      <c r="I321" s="524">
        <v>20713</v>
      </c>
      <c r="J321" s="523">
        <v>5525</v>
      </c>
      <c r="K321" s="525">
        <v>6022</v>
      </c>
      <c r="L321" s="526">
        <v>28667</v>
      </c>
      <c r="M321" s="523">
        <v>1911</v>
      </c>
      <c r="N321" s="523">
        <v>510</v>
      </c>
      <c r="O321" s="524">
        <v>34238</v>
      </c>
      <c r="P321" s="524">
        <v>1715</v>
      </c>
      <c r="Q321" s="525">
        <v>360</v>
      </c>
      <c r="R321" s="527"/>
      <c r="S321" s="528"/>
      <c r="T321" s="573">
        <f t="shared" si="21"/>
        <v>0</v>
      </c>
      <c r="U321" s="574">
        <f t="shared" si="22"/>
        <v>0</v>
      </c>
      <c r="V321" s="529"/>
      <c r="W321" s="530"/>
      <c r="X321" s="531"/>
      <c r="Y321" s="528"/>
      <c r="Z321" s="527"/>
      <c r="AA321" s="529"/>
      <c r="AB321" s="529"/>
      <c r="AC321" s="530"/>
      <c r="AD321" s="530"/>
      <c r="AE321" s="532"/>
      <c r="AF321" s="527"/>
      <c r="AG321" s="530"/>
    </row>
    <row r="322" spans="1:33">
      <c r="A322" s="554" t="s">
        <v>81</v>
      </c>
      <c r="B322" s="544" t="s">
        <v>817</v>
      </c>
      <c r="C322" s="545"/>
      <c r="D322" s="554">
        <v>217882</v>
      </c>
      <c r="E322" s="562">
        <v>1</v>
      </c>
      <c r="F322" s="571">
        <f t="shared" si="19"/>
        <v>467392</v>
      </c>
      <c r="G322" s="555">
        <f t="shared" si="20"/>
        <v>491334</v>
      </c>
      <c r="H322" s="557">
        <v>434260</v>
      </c>
      <c r="I322" s="558">
        <v>451941</v>
      </c>
      <c r="J322" s="557">
        <v>5322</v>
      </c>
      <c r="K322" s="559">
        <v>15418</v>
      </c>
      <c r="L322" s="556">
        <v>27810</v>
      </c>
      <c r="M322" s="557"/>
      <c r="N322" s="557"/>
      <c r="O322" s="558">
        <v>23975</v>
      </c>
      <c r="P322" s="558"/>
      <c r="Q322" s="559"/>
      <c r="R322" s="556"/>
      <c r="S322" s="559"/>
      <c r="T322" s="573">
        <f t="shared" si="21"/>
        <v>73789</v>
      </c>
      <c r="U322" s="574">
        <f t="shared" si="22"/>
        <v>77271</v>
      </c>
      <c r="V322" s="557">
        <v>57420</v>
      </c>
      <c r="W322" s="558">
        <v>57340</v>
      </c>
      <c r="X322" s="560">
        <v>11411</v>
      </c>
      <c r="Y322" s="559">
        <v>15684</v>
      </c>
      <c r="Z322" s="556">
        <v>4958</v>
      </c>
      <c r="AA322" s="557"/>
      <c r="AB322" s="557"/>
      <c r="AC322" s="543">
        <v>4247</v>
      </c>
      <c r="AD322" s="558"/>
      <c r="AE322" s="561"/>
      <c r="AF322" s="556"/>
      <c r="AG322" s="558"/>
    </row>
    <row r="323" spans="1:33">
      <c r="A323" s="554" t="s">
        <v>81</v>
      </c>
      <c r="B323" s="544" t="s">
        <v>818</v>
      </c>
      <c r="C323" s="545"/>
      <c r="D323" s="554">
        <v>218663</v>
      </c>
      <c r="E323" s="562">
        <v>1</v>
      </c>
      <c r="F323" s="571">
        <f t="shared" si="19"/>
        <v>628870</v>
      </c>
      <c r="G323" s="555">
        <f t="shared" si="20"/>
        <v>674943</v>
      </c>
      <c r="H323" s="557">
        <v>596746</v>
      </c>
      <c r="I323" s="558">
        <v>637395</v>
      </c>
      <c r="J323" s="557">
        <v>17350</v>
      </c>
      <c r="K323" s="559">
        <v>15367</v>
      </c>
      <c r="L323" s="556">
        <v>10183</v>
      </c>
      <c r="M323" s="557">
        <v>3506</v>
      </c>
      <c r="N323" s="557">
        <v>1085</v>
      </c>
      <c r="O323" s="558">
        <v>17159</v>
      </c>
      <c r="P323" s="558">
        <v>3833</v>
      </c>
      <c r="Q323" s="559">
        <v>1189</v>
      </c>
      <c r="R323" s="556"/>
      <c r="S323" s="559"/>
      <c r="T323" s="573">
        <f t="shared" si="21"/>
        <v>116559</v>
      </c>
      <c r="U323" s="574">
        <f t="shared" si="22"/>
        <v>118222</v>
      </c>
      <c r="V323" s="557">
        <v>74601</v>
      </c>
      <c r="W323" s="558">
        <v>73946</v>
      </c>
      <c r="X323" s="560">
        <v>9276</v>
      </c>
      <c r="Y323" s="559">
        <v>9895</v>
      </c>
      <c r="Z323" s="556">
        <v>29956</v>
      </c>
      <c r="AA323" s="557">
        <v>474</v>
      </c>
      <c r="AB323" s="557">
        <v>2252</v>
      </c>
      <c r="AC323" s="543">
        <v>32293</v>
      </c>
      <c r="AD323" s="558">
        <v>174</v>
      </c>
      <c r="AE323" s="561">
        <v>1914</v>
      </c>
      <c r="AF323" s="556"/>
      <c r="AG323" s="558"/>
    </row>
    <row r="324" spans="1:33">
      <c r="A324" s="554" t="s">
        <v>81</v>
      </c>
      <c r="B324" s="544" t="s">
        <v>819</v>
      </c>
      <c r="C324" s="545"/>
      <c r="D324" s="554">
        <v>217819</v>
      </c>
      <c r="E324" s="562">
        <v>3</v>
      </c>
      <c r="F324" s="571">
        <f t="shared" si="19"/>
        <v>294793</v>
      </c>
      <c r="G324" s="555">
        <f t="shared" si="20"/>
        <v>302217</v>
      </c>
      <c r="H324" s="557">
        <v>294499</v>
      </c>
      <c r="I324" s="558">
        <v>299380</v>
      </c>
      <c r="J324" s="557">
        <v>294</v>
      </c>
      <c r="K324" s="559">
        <v>1795</v>
      </c>
      <c r="L324" s="556"/>
      <c r="M324" s="557"/>
      <c r="N324" s="557"/>
      <c r="O324" s="558">
        <v>1042</v>
      </c>
      <c r="P324" s="558"/>
      <c r="Q324" s="559"/>
      <c r="R324" s="556"/>
      <c r="S324" s="559"/>
      <c r="T324" s="573">
        <f t="shared" si="21"/>
        <v>18228</v>
      </c>
      <c r="U324" s="574">
        <f t="shared" si="22"/>
        <v>19054</v>
      </c>
      <c r="V324" s="557">
        <v>13057</v>
      </c>
      <c r="W324" s="558">
        <v>10693</v>
      </c>
      <c r="X324" s="560">
        <v>4911</v>
      </c>
      <c r="Y324" s="559">
        <v>7511</v>
      </c>
      <c r="Z324" s="556">
        <v>122</v>
      </c>
      <c r="AA324" s="557"/>
      <c r="AB324" s="557">
        <v>138</v>
      </c>
      <c r="AC324" s="558">
        <v>766</v>
      </c>
      <c r="AD324" s="558"/>
      <c r="AE324" s="561">
        <v>84</v>
      </c>
      <c r="AF324" s="556"/>
      <c r="AG324" s="558"/>
    </row>
    <row r="325" spans="1:33">
      <c r="A325" s="554" t="s">
        <v>81</v>
      </c>
      <c r="B325" s="544" t="s">
        <v>820</v>
      </c>
      <c r="C325" s="545"/>
      <c r="D325" s="554">
        <v>218964</v>
      </c>
      <c r="E325" s="562">
        <v>3</v>
      </c>
      <c r="F325" s="571">
        <f t="shared" si="19"/>
        <v>143586.5</v>
      </c>
      <c r="G325" s="555">
        <f t="shared" si="20"/>
        <v>143669</v>
      </c>
      <c r="H325" s="557">
        <v>142629.5</v>
      </c>
      <c r="I325" s="558">
        <v>139272</v>
      </c>
      <c r="J325" s="557">
        <v>645</v>
      </c>
      <c r="K325" s="559">
        <v>1273</v>
      </c>
      <c r="L325" s="556">
        <v>312</v>
      </c>
      <c r="M325" s="557"/>
      <c r="N325" s="557"/>
      <c r="O325" s="558">
        <v>3124</v>
      </c>
      <c r="P325" s="558"/>
      <c r="Q325" s="559"/>
      <c r="R325" s="556"/>
      <c r="S325" s="559"/>
      <c r="T325" s="573">
        <f t="shared" si="21"/>
        <v>18159</v>
      </c>
      <c r="U325" s="574">
        <f t="shared" si="22"/>
        <v>18582</v>
      </c>
      <c r="V325" s="557">
        <v>15896</v>
      </c>
      <c r="W325" s="558">
        <v>14482</v>
      </c>
      <c r="X325" s="560">
        <v>2032</v>
      </c>
      <c r="Y325" s="559">
        <v>2381</v>
      </c>
      <c r="Z325" s="556">
        <v>231</v>
      </c>
      <c r="AA325" s="557"/>
      <c r="AB325" s="557"/>
      <c r="AC325" s="558">
        <v>1719</v>
      </c>
      <c r="AD325" s="558"/>
      <c r="AE325" s="561"/>
      <c r="AF325" s="556"/>
      <c r="AG325" s="558"/>
    </row>
    <row r="326" spans="1:33">
      <c r="A326" s="554" t="s">
        <v>81</v>
      </c>
      <c r="B326" s="544" t="s">
        <v>821</v>
      </c>
      <c r="C326" s="563" t="s">
        <v>849</v>
      </c>
      <c r="D326" s="554">
        <v>217864</v>
      </c>
      <c r="E326" s="562">
        <v>4</v>
      </c>
      <c r="F326" s="571">
        <f t="shared" si="19"/>
        <v>85876</v>
      </c>
      <c r="G326" s="555">
        <f t="shared" si="20"/>
        <v>87469</v>
      </c>
      <c r="H326" s="557">
        <v>85420</v>
      </c>
      <c r="I326" s="558">
        <v>86618</v>
      </c>
      <c r="J326" s="557">
        <v>237</v>
      </c>
      <c r="K326" s="559">
        <v>231</v>
      </c>
      <c r="L326" s="556">
        <v>219</v>
      </c>
      <c r="M326" s="557"/>
      <c r="N326" s="557"/>
      <c r="O326" s="558">
        <v>620</v>
      </c>
      <c r="P326" s="558"/>
      <c r="Q326" s="559"/>
      <c r="R326" s="556"/>
      <c r="S326" s="559"/>
      <c r="T326" s="573">
        <f t="shared" si="21"/>
        <v>15502</v>
      </c>
      <c r="U326" s="574">
        <f t="shared" si="22"/>
        <v>16062</v>
      </c>
      <c r="V326" s="557">
        <v>14686</v>
      </c>
      <c r="W326" s="558">
        <v>12780</v>
      </c>
      <c r="X326" s="560">
        <v>579</v>
      </c>
      <c r="Y326" s="559">
        <v>1752</v>
      </c>
      <c r="Z326" s="556">
        <v>237</v>
      </c>
      <c r="AA326" s="557"/>
      <c r="AB326" s="557"/>
      <c r="AC326" s="558">
        <v>1530</v>
      </c>
      <c r="AD326" s="558"/>
      <c r="AE326" s="561"/>
      <c r="AF326" s="556"/>
      <c r="AG326" s="558"/>
    </row>
    <row r="327" spans="1:33">
      <c r="A327" s="554" t="s">
        <v>81</v>
      </c>
      <c r="B327" s="544" t="s">
        <v>822</v>
      </c>
      <c r="C327" s="545"/>
      <c r="D327" s="554">
        <v>218724</v>
      </c>
      <c r="E327" s="562">
        <v>5</v>
      </c>
      <c r="F327" s="571">
        <f t="shared" si="19"/>
        <v>236506</v>
      </c>
      <c r="G327" s="555">
        <f t="shared" si="20"/>
        <v>249232</v>
      </c>
      <c r="H327" s="557">
        <v>225585</v>
      </c>
      <c r="I327" s="558">
        <v>233193</v>
      </c>
      <c r="J327" s="557">
        <v>2531</v>
      </c>
      <c r="K327" s="559">
        <v>1928</v>
      </c>
      <c r="L327" s="556">
        <v>8390</v>
      </c>
      <c r="M327" s="557"/>
      <c r="N327" s="557"/>
      <c r="O327" s="558">
        <v>14111</v>
      </c>
      <c r="P327" s="558"/>
      <c r="Q327" s="559"/>
      <c r="R327" s="556"/>
      <c r="S327" s="559"/>
      <c r="T327" s="573">
        <f t="shared" si="21"/>
        <v>9490</v>
      </c>
      <c r="U327" s="574">
        <f t="shared" si="22"/>
        <v>9268</v>
      </c>
      <c r="V327" s="557">
        <v>4434</v>
      </c>
      <c r="W327" s="558">
        <v>5224</v>
      </c>
      <c r="X327" s="560">
        <v>2725</v>
      </c>
      <c r="Y327" s="559">
        <v>1810</v>
      </c>
      <c r="Z327" s="556">
        <v>2331</v>
      </c>
      <c r="AA327" s="557"/>
      <c r="AB327" s="557"/>
      <c r="AC327" s="558">
        <v>2234</v>
      </c>
      <c r="AD327" s="558"/>
      <c r="AE327" s="561"/>
      <c r="AF327" s="556"/>
      <c r="AG327" s="558"/>
    </row>
    <row r="328" spans="1:33">
      <c r="A328" s="554" t="s">
        <v>81</v>
      </c>
      <c r="B328" s="544" t="s">
        <v>823</v>
      </c>
      <c r="C328" s="545"/>
      <c r="D328" s="554">
        <v>218061</v>
      </c>
      <c r="E328" s="562">
        <v>5</v>
      </c>
      <c r="F328" s="571">
        <f t="shared" ref="F328:F391" si="23">SUM(H328,J328,L328,M328,N328,R328)</f>
        <v>103303</v>
      </c>
      <c r="G328" s="555">
        <f t="shared" ref="G328:G391" si="24">SUM(I328,K328,O328,P328,Q328,S328)</f>
        <v>105516</v>
      </c>
      <c r="H328" s="557">
        <v>103157</v>
      </c>
      <c r="I328" s="558">
        <v>104723</v>
      </c>
      <c r="J328" s="557">
        <v>140</v>
      </c>
      <c r="K328" s="559">
        <v>517</v>
      </c>
      <c r="L328" s="556">
        <v>6</v>
      </c>
      <c r="M328" s="557"/>
      <c r="N328" s="557"/>
      <c r="O328" s="558">
        <v>276</v>
      </c>
      <c r="P328" s="558"/>
      <c r="Q328" s="559"/>
      <c r="R328" s="556"/>
      <c r="S328" s="559"/>
      <c r="T328" s="573">
        <f t="shared" ref="T328:T391" si="25">SUM(V328,X328,Z328,AA328,AB328,AF328)</f>
        <v>4469</v>
      </c>
      <c r="U328" s="574">
        <f t="shared" ref="U328:U391" si="26">SUM(W328,Y328,AC328,AD328,AE328,AG328)</f>
        <v>4967</v>
      </c>
      <c r="V328" s="557">
        <v>2897</v>
      </c>
      <c r="W328" s="558">
        <v>3461</v>
      </c>
      <c r="X328" s="560">
        <v>1563</v>
      </c>
      <c r="Y328" s="559">
        <v>1425</v>
      </c>
      <c r="Z328" s="556">
        <v>9</v>
      </c>
      <c r="AA328" s="557"/>
      <c r="AB328" s="557"/>
      <c r="AC328" s="543">
        <v>81</v>
      </c>
      <c r="AD328" s="558"/>
      <c r="AE328" s="561"/>
      <c r="AF328" s="556"/>
      <c r="AG328" s="558"/>
    </row>
    <row r="329" spans="1:33">
      <c r="A329" s="554" t="s">
        <v>81</v>
      </c>
      <c r="B329" s="544" t="s">
        <v>824</v>
      </c>
      <c r="C329" s="545"/>
      <c r="D329" s="554">
        <v>218733</v>
      </c>
      <c r="E329" s="562">
        <v>5</v>
      </c>
      <c r="F329" s="571">
        <f t="shared" si="23"/>
        <v>115174</v>
      </c>
      <c r="G329" s="555">
        <f t="shared" si="24"/>
        <v>112443</v>
      </c>
      <c r="H329" s="557">
        <v>113401.53</v>
      </c>
      <c r="I329" s="558">
        <v>108344</v>
      </c>
      <c r="J329" s="557">
        <v>0</v>
      </c>
      <c r="K329" s="559">
        <v>0</v>
      </c>
      <c r="L329" s="556">
        <v>1483.47</v>
      </c>
      <c r="M329" s="557"/>
      <c r="N329" s="557">
        <v>289</v>
      </c>
      <c r="O329" s="558">
        <v>3286</v>
      </c>
      <c r="P329" s="558"/>
      <c r="Q329" s="559">
        <v>813</v>
      </c>
      <c r="R329" s="556"/>
      <c r="S329" s="559"/>
      <c r="T329" s="573">
        <f t="shared" si="25"/>
        <v>11075</v>
      </c>
      <c r="U329" s="574">
        <f t="shared" si="26"/>
        <v>10494</v>
      </c>
      <c r="V329" s="557">
        <v>10358</v>
      </c>
      <c r="W329" s="558">
        <v>8973</v>
      </c>
      <c r="X329" s="560"/>
      <c r="Y329" s="559"/>
      <c r="Z329" s="556">
        <v>717</v>
      </c>
      <c r="AA329" s="557"/>
      <c r="AB329" s="557"/>
      <c r="AC329" s="558">
        <v>1359</v>
      </c>
      <c r="AD329" s="558"/>
      <c r="AE329" s="561">
        <v>162</v>
      </c>
      <c r="AF329" s="556"/>
      <c r="AG329" s="558"/>
    </row>
    <row r="330" spans="1:33">
      <c r="A330" s="554" t="s">
        <v>81</v>
      </c>
      <c r="B330" s="544" t="s">
        <v>825</v>
      </c>
      <c r="C330" s="545"/>
      <c r="D330" s="554">
        <v>218229</v>
      </c>
      <c r="E330" s="546">
        <v>6</v>
      </c>
      <c r="F330" s="571">
        <f t="shared" si="23"/>
        <v>82796.5</v>
      </c>
      <c r="G330" s="555">
        <f t="shared" si="24"/>
        <v>86311</v>
      </c>
      <c r="H330" s="557">
        <v>77111.5</v>
      </c>
      <c r="I330" s="558">
        <v>79212</v>
      </c>
      <c r="J330" s="557">
        <v>310</v>
      </c>
      <c r="K330" s="559">
        <v>906</v>
      </c>
      <c r="L330" s="556">
        <v>5224</v>
      </c>
      <c r="M330" s="557">
        <v>151</v>
      </c>
      <c r="N330" s="557"/>
      <c r="O330" s="558">
        <v>6133</v>
      </c>
      <c r="P330" s="558">
        <v>60</v>
      </c>
      <c r="Q330" s="559"/>
      <c r="R330" s="556"/>
      <c r="S330" s="559"/>
      <c r="T330" s="573">
        <f t="shared" si="25"/>
        <v>1854</v>
      </c>
      <c r="U330" s="574">
        <f t="shared" si="26"/>
        <v>1674</v>
      </c>
      <c r="V330" s="557">
        <v>1077</v>
      </c>
      <c r="W330" s="558">
        <v>1137</v>
      </c>
      <c r="X330" s="560">
        <v>306</v>
      </c>
      <c r="Y330" s="559">
        <v>255</v>
      </c>
      <c r="Z330" s="556">
        <v>471</v>
      </c>
      <c r="AA330" s="557"/>
      <c r="AB330" s="557"/>
      <c r="AC330" s="558">
        <v>282</v>
      </c>
      <c r="AD330" s="558"/>
      <c r="AE330" s="561"/>
      <c r="AF330" s="556"/>
      <c r="AG330" s="558"/>
    </row>
    <row r="331" spans="1:33">
      <c r="A331" s="554" t="s">
        <v>81</v>
      </c>
      <c r="B331" s="544" t="s">
        <v>826</v>
      </c>
      <c r="C331" s="545"/>
      <c r="D331" s="554">
        <v>218645</v>
      </c>
      <c r="E331" s="562">
        <v>6</v>
      </c>
      <c r="F331" s="571">
        <f t="shared" si="23"/>
        <v>84564</v>
      </c>
      <c r="G331" s="555">
        <f t="shared" si="24"/>
        <v>90109</v>
      </c>
      <c r="H331" s="557">
        <v>77348</v>
      </c>
      <c r="I331" s="558">
        <v>82281</v>
      </c>
      <c r="J331" s="557">
        <v>3831</v>
      </c>
      <c r="K331" s="559">
        <v>5702</v>
      </c>
      <c r="L331" s="556">
        <v>3385</v>
      </c>
      <c r="M331" s="557"/>
      <c r="N331" s="557"/>
      <c r="O331" s="558">
        <v>2126</v>
      </c>
      <c r="P331" s="558"/>
      <c r="Q331" s="559"/>
      <c r="R331" s="556"/>
      <c r="S331" s="559"/>
      <c r="T331" s="573">
        <f t="shared" si="25"/>
        <v>1192</v>
      </c>
      <c r="U331" s="574">
        <f t="shared" si="26"/>
        <v>1222</v>
      </c>
      <c r="V331" s="557">
        <v>565</v>
      </c>
      <c r="W331" s="558">
        <v>602</v>
      </c>
      <c r="X331" s="560">
        <v>198</v>
      </c>
      <c r="Y331" s="559">
        <v>272</v>
      </c>
      <c r="Z331" s="556">
        <v>429</v>
      </c>
      <c r="AA331" s="557"/>
      <c r="AB331" s="557"/>
      <c r="AC331" s="558">
        <v>348</v>
      </c>
      <c r="AD331" s="558"/>
      <c r="AE331" s="561"/>
      <c r="AF331" s="556"/>
      <c r="AG331" s="558"/>
    </row>
    <row r="332" spans="1:33">
      <c r="A332" s="554" t="s">
        <v>81</v>
      </c>
      <c r="B332" s="547" t="s">
        <v>827</v>
      </c>
      <c r="C332" s="548"/>
      <c r="D332" s="553">
        <v>218654</v>
      </c>
      <c r="E332" s="546">
        <v>6</v>
      </c>
      <c r="F332" s="571">
        <f t="shared" si="23"/>
        <v>45714</v>
      </c>
      <c r="G332" s="555">
        <f t="shared" si="24"/>
        <v>53991</v>
      </c>
      <c r="H332" s="557">
        <v>39739</v>
      </c>
      <c r="I332" s="558">
        <v>48167</v>
      </c>
      <c r="J332" s="557">
        <v>5975</v>
      </c>
      <c r="K332" s="559">
        <v>5824</v>
      </c>
      <c r="L332" s="556"/>
      <c r="M332" s="557"/>
      <c r="N332" s="557"/>
      <c r="O332" s="558"/>
      <c r="P332" s="558"/>
      <c r="Q332" s="559"/>
      <c r="R332" s="556"/>
      <c r="S332" s="559"/>
      <c r="T332" s="573">
        <f t="shared" si="25"/>
        <v>0</v>
      </c>
      <c r="U332" s="574">
        <f t="shared" si="26"/>
        <v>0</v>
      </c>
      <c r="V332" s="557"/>
      <c r="W332" s="558"/>
      <c r="X332" s="560"/>
      <c r="Y332" s="559"/>
      <c r="Z332" s="556"/>
      <c r="AA332" s="557"/>
      <c r="AB332" s="557"/>
      <c r="AC332" s="558"/>
      <c r="AD332" s="558"/>
      <c r="AE332" s="561"/>
      <c r="AF332" s="556"/>
      <c r="AG332" s="558"/>
    </row>
    <row r="333" spans="1:33">
      <c r="A333" s="554" t="s">
        <v>81</v>
      </c>
      <c r="B333" s="544" t="s">
        <v>828</v>
      </c>
      <c r="C333" s="545"/>
      <c r="D333" s="554">
        <v>218742</v>
      </c>
      <c r="E333" s="562">
        <v>6</v>
      </c>
      <c r="F333" s="571">
        <f t="shared" si="23"/>
        <v>148590</v>
      </c>
      <c r="G333" s="555">
        <f t="shared" si="24"/>
        <v>161721</v>
      </c>
      <c r="H333" s="557">
        <v>123088</v>
      </c>
      <c r="I333" s="558">
        <v>134150</v>
      </c>
      <c r="J333" s="557">
        <v>12990</v>
      </c>
      <c r="K333" s="559">
        <v>11924</v>
      </c>
      <c r="L333" s="556">
        <v>12344</v>
      </c>
      <c r="M333" s="557"/>
      <c r="N333" s="557">
        <v>168</v>
      </c>
      <c r="O333" s="558">
        <v>15524</v>
      </c>
      <c r="P333" s="558">
        <v>33</v>
      </c>
      <c r="Q333" s="559">
        <v>90</v>
      </c>
      <c r="R333" s="556"/>
      <c r="S333" s="559"/>
      <c r="T333" s="573">
        <f t="shared" si="25"/>
        <v>1351</v>
      </c>
      <c r="U333" s="574">
        <f t="shared" si="26"/>
        <v>1357</v>
      </c>
      <c r="V333" s="557">
        <v>481</v>
      </c>
      <c r="W333" s="558">
        <v>448</v>
      </c>
      <c r="X333" s="560">
        <v>312</v>
      </c>
      <c r="Y333" s="559">
        <v>327</v>
      </c>
      <c r="Z333" s="556">
        <v>495</v>
      </c>
      <c r="AA333" s="557">
        <v>9</v>
      </c>
      <c r="AB333" s="557">
        <v>54</v>
      </c>
      <c r="AC333" s="558">
        <v>576</v>
      </c>
      <c r="AD333" s="558"/>
      <c r="AE333" s="561">
        <v>6</v>
      </c>
      <c r="AF333" s="556"/>
      <c r="AG333" s="558"/>
    </row>
    <row r="334" spans="1:33">
      <c r="A334" s="554" t="s">
        <v>81</v>
      </c>
      <c r="B334" s="544" t="s">
        <v>829</v>
      </c>
      <c r="C334" s="545"/>
      <c r="D334" s="554">
        <v>218113</v>
      </c>
      <c r="E334" s="562">
        <v>8</v>
      </c>
      <c r="F334" s="571">
        <f t="shared" si="23"/>
        <v>344968</v>
      </c>
      <c r="G334" s="555">
        <f t="shared" si="24"/>
        <v>374512.12</v>
      </c>
      <c r="H334" s="557">
        <v>243786</v>
      </c>
      <c r="I334" s="558">
        <v>282519.12</v>
      </c>
      <c r="J334" s="557">
        <v>17540</v>
      </c>
      <c r="K334" s="559">
        <v>16745</v>
      </c>
      <c r="L334" s="556">
        <v>82412</v>
      </c>
      <c r="M334" s="557">
        <v>660</v>
      </c>
      <c r="N334" s="557">
        <v>570</v>
      </c>
      <c r="O334" s="558">
        <v>75248</v>
      </c>
      <c r="P334" s="558"/>
      <c r="Q334" s="559"/>
      <c r="R334" s="556"/>
      <c r="S334" s="559"/>
      <c r="T334" s="573">
        <f t="shared" si="25"/>
        <v>0</v>
      </c>
      <c r="U334" s="574">
        <f t="shared" si="26"/>
        <v>0</v>
      </c>
      <c r="V334" s="557"/>
      <c r="W334" s="558"/>
      <c r="X334" s="560"/>
      <c r="Y334" s="559"/>
      <c r="Z334" s="556"/>
      <c r="AA334" s="557"/>
      <c r="AB334" s="557"/>
      <c r="AC334" s="558"/>
      <c r="AD334" s="558"/>
      <c r="AE334" s="561"/>
      <c r="AF334" s="556"/>
      <c r="AG334" s="558"/>
    </row>
    <row r="335" spans="1:33">
      <c r="A335" s="554" t="s">
        <v>81</v>
      </c>
      <c r="B335" s="551" t="s">
        <v>835</v>
      </c>
      <c r="C335" s="565" t="s">
        <v>666</v>
      </c>
      <c r="D335" s="554">
        <v>218140</v>
      </c>
      <c r="E335" s="566">
        <v>8</v>
      </c>
      <c r="F335" s="571">
        <f t="shared" si="23"/>
        <v>173200</v>
      </c>
      <c r="G335" s="555">
        <f t="shared" si="24"/>
        <v>185537.02000000002</v>
      </c>
      <c r="H335" s="557">
        <v>144519</v>
      </c>
      <c r="I335" s="558">
        <v>152615.02000000002</v>
      </c>
      <c r="J335" s="557">
        <v>6896</v>
      </c>
      <c r="K335" s="559">
        <v>7547</v>
      </c>
      <c r="L335" s="556">
        <v>21785</v>
      </c>
      <c r="M335" s="557"/>
      <c r="N335" s="557"/>
      <c r="O335" s="558">
        <v>25375</v>
      </c>
      <c r="P335" s="558"/>
      <c r="Q335" s="559"/>
      <c r="R335" s="556"/>
      <c r="S335" s="559"/>
      <c r="T335" s="573">
        <f t="shared" si="25"/>
        <v>0</v>
      </c>
      <c r="U335" s="574">
        <f t="shared" si="26"/>
        <v>0</v>
      </c>
      <c r="V335" s="557"/>
      <c r="W335" s="558"/>
      <c r="X335" s="560"/>
      <c r="Y335" s="559"/>
      <c r="Z335" s="556"/>
      <c r="AA335" s="557"/>
      <c r="AB335" s="557"/>
      <c r="AC335" s="558"/>
      <c r="AD335" s="558"/>
      <c r="AE335" s="561"/>
      <c r="AF335" s="556"/>
      <c r="AG335" s="558"/>
    </row>
    <row r="336" spans="1:33">
      <c r="A336" s="554" t="s">
        <v>81</v>
      </c>
      <c r="B336" s="544" t="s">
        <v>830</v>
      </c>
      <c r="C336" s="545"/>
      <c r="D336" s="554">
        <v>218353</v>
      </c>
      <c r="E336" s="562">
        <v>8</v>
      </c>
      <c r="F336" s="571">
        <f t="shared" si="23"/>
        <v>281859</v>
      </c>
      <c r="G336" s="555">
        <f t="shared" si="24"/>
        <v>271208.90000000002</v>
      </c>
      <c r="H336" s="557">
        <v>215337</v>
      </c>
      <c r="I336" s="558">
        <v>219434.90000000002</v>
      </c>
      <c r="J336" s="557">
        <v>16951</v>
      </c>
      <c r="K336" s="559">
        <v>13433</v>
      </c>
      <c r="L336" s="556">
        <v>49571</v>
      </c>
      <c r="M336" s="557"/>
      <c r="N336" s="557"/>
      <c r="O336" s="558">
        <v>38341</v>
      </c>
      <c r="P336" s="558"/>
      <c r="Q336" s="559"/>
      <c r="R336" s="556"/>
      <c r="S336" s="559"/>
      <c r="T336" s="573">
        <f t="shared" si="25"/>
        <v>0</v>
      </c>
      <c r="U336" s="574">
        <f t="shared" si="26"/>
        <v>0</v>
      </c>
      <c r="V336" s="557"/>
      <c r="W336" s="558"/>
      <c r="X336" s="560"/>
      <c r="Y336" s="559"/>
      <c r="Z336" s="556"/>
      <c r="AA336" s="557"/>
      <c r="AB336" s="557"/>
      <c r="AC336" s="558"/>
      <c r="AD336" s="558"/>
      <c r="AE336" s="561"/>
      <c r="AF336" s="556"/>
      <c r="AG336" s="558"/>
    </row>
    <row r="337" spans="1:33">
      <c r="A337" s="554" t="s">
        <v>81</v>
      </c>
      <c r="B337" s="551" t="s">
        <v>839</v>
      </c>
      <c r="C337" s="565" t="s">
        <v>666</v>
      </c>
      <c r="D337" s="554">
        <v>218885</v>
      </c>
      <c r="E337" s="566">
        <v>8</v>
      </c>
      <c r="F337" s="571">
        <f t="shared" si="23"/>
        <v>171851</v>
      </c>
      <c r="G337" s="555">
        <f t="shared" si="24"/>
        <v>185910.28</v>
      </c>
      <c r="H337" s="557">
        <v>134614</v>
      </c>
      <c r="I337" s="558">
        <v>146653.28</v>
      </c>
      <c r="J337" s="557">
        <v>4608</v>
      </c>
      <c r="K337" s="559">
        <v>3549</v>
      </c>
      <c r="L337" s="556">
        <v>32629</v>
      </c>
      <c r="M337" s="557"/>
      <c r="N337" s="557"/>
      <c r="O337" s="558">
        <v>35708</v>
      </c>
      <c r="P337" s="558"/>
      <c r="Q337" s="559"/>
      <c r="R337" s="556"/>
      <c r="S337" s="559"/>
      <c r="T337" s="573">
        <f t="shared" si="25"/>
        <v>0</v>
      </c>
      <c r="U337" s="574">
        <f t="shared" si="26"/>
        <v>0</v>
      </c>
      <c r="V337" s="557"/>
      <c r="W337" s="558"/>
      <c r="X337" s="560"/>
      <c r="Y337" s="559"/>
      <c r="Z337" s="556"/>
      <c r="AA337" s="557"/>
      <c r="AB337" s="557"/>
      <c r="AC337" s="558"/>
      <c r="AD337" s="558"/>
      <c r="AE337" s="561"/>
      <c r="AF337" s="556"/>
      <c r="AG337" s="558"/>
    </row>
    <row r="338" spans="1:33">
      <c r="A338" s="554" t="s">
        <v>81</v>
      </c>
      <c r="B338" s="544" t="s">
        <v>831</v>
      </c>
      <c r="C338" s="545"/>
      <c r="D338" s="554">
        <v>218894</v>
      </c>
      <c r="E338" s="562">
        <v>8</v>
      </c>
      <c r="F338" s="571">
        <f t="shared" si="23"/>
        <v>357179</v>
      </c>
      <c r="G338" s="555">
        <f t="shared" si="24"/>
        <v>408457.47</v>
      </c>
      <c r="H338" s="557">
        <v>264813</v>
      </c>
      <c r="I338" s="558">
        <v>306852.46999999997</v>
      </c>
      <c r="J338" s="557">
        <v>11457</v>
      </c>
      <c r="K338" s="559">
        <v>12324</v>
      </c>
      <c r="L338" s="556">
        <v>80909</v>
      </c>
      <c r="M338" s="557"/>
      <c r="N338" s="557"/>
      <c r="O338" s="558">
        <v>89281</v>
      </c>
      <c r="P338" s="558"/>
      <c r="Q338" s="559"/>
      <c r="R338" s="556"/>
      <c r="S338" s="559"/>
      <c r="T338" s="573">
        <f t="shared" si="25"/>
        <v>0</v>
      </c>
      <c r="U338" s="574">
        <f t="shared" si="26"/>
        <v>0</v>
      </c>
      <c r="V338" s="557"/>
      <c r="W338" s="558"/>
      <c r="X338" s="560"/>
      <c r="Y338" s="559"/>
      <c r="Z338" s="556"/>
      <c r="AA338" s="557"/>
      <c r="AB338" s="557"/>
      <c r="AC338" s="558"/>
      <c r="AD338" s="558"/>
      <c r="AE338" s="561"/>
      <c r="AF338" s="556"/>
      <c r="AG338" s="558"/>
    </row>
    <row r="339" spans="1:33">
      <c r="A339" s="554" t="s">
        <v>81</v>
      </c>
      <c r="B339" s="549" t="s">
        <v>832</v>
      </c>
      <c r="C339" s="550"/>
      <c r="D339" s="554">
        <v>217615</v>
      </c>
      <c r="E339" s="562">
        <v>9</v>
      </c>
      <c r="F339" s="571">
        <f t="shared" si="23"/>
        <v>75200</v>
      </c>
      <c r="G339" s="555">
        <f t="shared" si="24"/>
        <v>83052.09</v>
      </c>
      <c r="H339" s="557">
        <v>58693</v>
      </c>
      <c r="I339" s="558">
        <v>67322.09</v>
      </c>
      <c r="J339" s="557">
        <v>4571</v>
      </c>
      <c r="K339" s="559">
        <v>4535</v>
      </c>
      <c r="L339" s="556">
        <v>11936</v>
      </c>
      <c r="M339" s="557"/>
      <c r="N339" s="557"/>
      <c r="O339" s="558">
        <v>11195</v>
      </c>
      <c r="P339" s="558"/>
      <c r="Q339" s="559"/>
      <c r="R339" s="556"/>
      <c r="S339" s="559"/>
      <c r="T339" s="573">
        <f t="shared" si="25"/>
        <v>0</v>
      </c>
      <c r="U339" s="574">
        <f t="shared" si="26"/>
        <v>0</v>
      </c>
      <c r="V339" s="557"/>
      <c r="W339" s="558"/>
      <c r="X339" s="560"/>
      <c r="Y339" s="559"/>
      <c r="Z339" s="556"/>
      <c r="AA339" s="557"/>
      <c r="AB339" s="557"/>
      <c r="AC339" s="558"/>
      <c r="AD339" s="558"/>
      <c r="AE339" s="561"/>
      <c r="AF339" s="556"/>
      <c r="AG339" s="558"/>
    </row>
    <row r="340" spans="1:33">
      <c r="A340" s="554" t="s">
        <v>81</v>
      </c>
      <c r="B340" s="544" t="s">
        <v>833</v>
      </c>
      <c r="C340" s="563"/>
      <c r="D340" s="554">
        <v>218858</v>
      </c>
      <c r="E340" s="562">
        <v>9</v>
      </c>
      <c r="F340" s="571">
        <f t="shared" si="23"/>
        <v>93068</v>
      </c>
      <c r="G340" s="555">
        <f t="shared" si="24"/>
        <v>106029.22</v>
      </c>
      <c r="H340" s="557">
        <v>68067</v>
      </c>
      <c r="I340" s="558">
        <v>80725.22</v>
      </c>
      <c r="J340" s="557">
        <v>9497</v>
      </c>
      <c r="K340" s="559">
        <v>9420</v>
      </c>
      <c r="L340" s="556">
        <v>15504</v>
      </c>
      <c r="M340" s="557"/>
      <c r="N340" s="557"/>
      <c r="O340" s="558">
        <v>15884</v>
      </c>
      <c r="P340" s="558"/>
      <c r="Q340" s="559"/>
      <c r="R340" s="556"/>
      <c r="S340" s="559"/>
      <c r="T340" s="573">
        <f t="shared" si="25"/>
        <v>0</v>
      </c>
      <c r="U340" s="574">
        <f t="shared" si="26"/>
        <v>0</v>
      </c>
      <c r="V340" s="557"/>
      <c r="W340" s="558"/>
      <c r="X340" s="560"/>
      <c r="Y340" s="559"/>
      <c r="Z340" s="556"/>
      <c r="AA340" s="557"/>
      <c r="AB340" s="557"/>
      <c r="AC340" s="558"/>
      <c r="AD340" s="558"/>
      <c r="AE340" s="561"/>
      <c r="AF340" s="556"/>
      <c r="AG340" s="558"/>
    </row>
    <row r="341" spans="1:33">
      <c r="A341" s="554" t="s">
        <v>81</v>
      </c>
      <c r="B341" s="551" t="s">
        <v>834</v>
      </c>
      <c r="C341" s="564" t="s">
        <v>850</v>
      </c>
      <c r="D341" s="554">
        <v>218025</v>
      </c>
      <c r="E341" s="562">
        <v>9</v>
      </c>
      <c r="F341" s="571">
        <f t="shared" si="23"/>
        <v>141993</v>
      </c>
      <c r="G341" s="555">
        <f t="shared" si="24"/>
        <v>165741.02000000002</v>
      </c>
      <c r="H341" s="557">
        <v>98830</v>
      </c>
      <c r="I341" s="558">
        <v>118345.02000000002</v>
      </c>
      <c r="J341" s="557">
        <v>10162</v>
      </c>
      <c r="K341" s="559">
        <v>10551</v>
      </c>
      <c r="L341" s="556">
        <v>26610</v>
      </c>
      <c r="M341" s="557">
        <v>6391</v>
      </c>
      <c r="N341" s="557"/>
      <c r="O341" s="558">
        <v>30519</v>
      </c>
      <c r="P341" s="558">
        <v>6326</v>
      </c>
      <c r="Q341" s="559"/>
      <c r="R341" s="556"/>
      <c r="S341" s="559"/>
      <c r="T341" s="573">
        <f t="shared" si="25"/>
        <v>0</v>
      </c>
      <c r="U341" s="574">
        <f t="shared" si="26"/>
        <v>0</v>
      </c>
      <c r="V341" s="557"/>
      <c r="W341" s="558"/>
      <c r="X341" s="560"/>
      <c r="Y341" s="559"/>
      <c r="Z341" s="556"/>
      <c r="AA341" s="557"/>
      <c r="AB341" s="557"/>
      <c r="AC341" s="558"/>
      <c r="AD341" s="558"/>
      <c r="AE341" s="561"/>
      <c r="AF341" s="556"/>
      <c r="AG341" s="558"/>
    </row>
    <row r="342" spans="1:33">
      <c r="A342" s="554" t="s">
        <v>81</v>
      </c>
      <c r="B342" s="544" t="s">
        <v>836</v>
      </c>
      <c r="C342" s="563"/>
      <c r="D342" s="554">
        <v>218487</v>
      </c>
      <c r="E342" s="562">
        <v>9</v>
      </c>
      <c r="F342" s="571">
        <f t="shared" si="23"/>
        <v>72998</v>
      </c>
      <c r="G342" s="555">
        <f t="shared" si="24"/>
        <v>79795.86</v>
      </c>
      <c r="H342" s="557">
        <v>55716</v>
      </c>
      <c r="I342" s="558">
        <v>64238.86</v>
      </c>
      <c r="J342" s="557">
        <v>8717</v>
      </c>
      <c r="K342" s="559">
        <v>8403</v>
      </c>
      <c r="L342" s="556">
        <v>8565</v>
      </c>
      <c r="M342" s="557"/>
      <c r="N342" s="557"/>
      <c r="O342" s="558">
        <v>7154</v>
      </c>
      <c r="P342" s="558"/>
      <c r="Q342" s="559"/>
      <c r="R342" s="556"/>
      <c r="S342" s="559"/>
      <c r="T342" s="573">
        <f t="shared" si="25"/>
        <v>0</v>
      </c>
      <c r="U342" s="574">
        <f t="shared" si="26"/>
        <v>0</v>
      </c>
      <c r="V342" s="557"/>
      <c r="W342" s="558"/>
      <c r="X342" s="560"/>
      <c r="Y342" s="559"/>
      <c r="Z342" s="556"/>
      <c r="AA342" s="557"/>
      <c r="AB342" s="557"/>
      <c r="AC342" s="558"/>
      <c r="AD342" s="558"/>
      <c r="AE342" s="561"/>
      <c r="AF342" s="556"/>
      <c r="AG342" s="558"/>
    </row>
    <row r="343" spans="1:33">
      <c r="A343" s="554" t="s">
        <v>81</v>
      </c>
      <c r="B343" s="551" t="s">
        <v>837</v>
      </c>
      <c r="C343" s="552" t="s">
        <v>850</v>
      </c>
      <c r="D343" s="554">
        <v>218520</v>
      </c>
      <c r="E343" s="562">
        <v>9</v>
      </c>
      <c r="F343" s="571">
        <f t="shared" si="23"/>
        <v>138959</v>
      </c>
      <c r="G343" s="555">
        <f t="shared" si="24"/>
        <v>168991.87</v>
      </c>
      <c r="H343" s="557">
        <v>71712</v>
      </c>
      <c r="I343" s="558">
        <v>99839.87</v>
      </c>
      <c r="J343" s="557">
        <v>15257</v>
      </c>
      <c r="K343" s="559">
        <v>17335</v>
      </c>
      <c r="L343" s="556">
        <v>36827</v>
      </c>
      <c r="M343" s="557">
        <v>15163</v>
      </c>
      <c r="N343" s="557"/>
      <c r="O343" s="558">
        <v>39953</v>
      </c>
      <c r="P343" s="558">
        <v>11864</v>
      </c>
      <c r="Q343" s="559"/>
      <c r="R343" s="556"/>
      <c r="S343" s="559"/>
      <c r="T343" s="573">
        <f t="shared" si="25"/>
        <v>0</v>
      </c>
      <c r="U343" s="574">
        <f t="shared" si="26"/>
        <v>0</v>
      </c>
      <c r="V343" s="557"/>
      <c r="W343" s="558"/>
      <c r="X343" s="560"/>
      <c r="Y343" s="559"/>
      <c r="Z343" s="556"/>
      <c r="AA343" s="557"/>
      <c r="AB343" s="557"/>
      <c r="AC343" s="558"/>
      <c r="AD343" s="558"/>
      <c r="AE343" s="561"/>
      <c r="AF343" s="556"/>
      <c r="AG343" s="558"/>
    </row>
    <row r="344" spans="1:33">
      <c r="A344" s="554" t="s">
        <v>81</v>
      </c>
      <c r="B344" s="551" t="s">
        <v>838</v>
      </c>
      <c r="C344" s="564"/>
      <c r="D344" s="554">
        <v>218830</v>
      </c>
      <c r="E344" s="562">
        <v>9</v>
      </c>
      <c r="F344" s="571">
        <f t="shared" si="23"/>
        <v>140025</v>
      </c>
      <c r="G344" s="555">
        <f t="shared" si="24"/>
        <v>152161.12</v>
      </c>
      <c r="H344" s="557">
        <v>114546</v>
      </c>
      <c r="I344" s="558">
        <v>122516.12</v>
      </c>
      <c r="J344" s="557">
        <v>5936</v>
      </c>
      <c r="K344" s="559">
        <v>6791</v>
      </c>
      <c r="L344" s="556">
        <v>19534</v>
      </c>
      <c r="M344" s="557">
        <v>9</v>
      </c>
      <c r="N344" s="557"/>
      <c r="O344" s="558">
        <v>22854</v>
      </c>
      <c r="P344" s="558"/>
      <c r="Q344" s="559"/>
      <c r="R344" s="556"/>
      <c r="S344" s="559"/>
      <c r="T344" s="573">
        <f t="shared" si="25"/>
        <v>0</v>
      </c>
      <c r="U344" s="574">
        <f t="shared" si="26"/>
        <v>0</v>
      </c>
      <c r="V344" s="557"/>
      <c r="W344" s="558"/>
      <c r="X344" s="560"/>
      <c r="Y344" s="559"/>
      <c r="Z344" s="556"/>
      <c r="AA344" s="557"/>
      <c r="AB344" s="557"/>
      <c r="AC344" s="558"/>
      <c r="AD344" s="558"/>
      <c r="AE344" s="561"/>
      <c r="AF344" s="556"/>
      <c r="AG344" s="558"/>
    </row>
    <row r="345" spans="1:33">
      <c r="A345" s="554" t="s">
        <v>81</v>
      </c>
      <c r="B345" s="551" t="s">
        <v>840</v>
      </c>
      <c r="C345" s="552"/>
      <c r="D345" s="554">
        <v>218991</v>
      </c>
      <c r="E345" s="562">
        <v>9</v>
      </c>
      <c r="F345" s="571">
        <f t="shared" si="23"/>
        <v>140960</v>
      </c>
      <c r="G345" s="555">
        <f t="shared" si="24"/>
        <v>151048.74</v>
      </c>
      <c r="H345" s="557">
        <v>89627</v>
      </c>
      <c r="I345" s="558">
        <v>107025.73999999999</v>
      </c>
      <c r="J345" s="557">
        <v>10099</v>
      </c>
      <c r="K345" s="559">
        <v>8725</v>
      </c>
      <c r="L345" s="556">
        <v>32197</v>
      </c>
      <c r="M345" s="557">
        <v>8657</v>
      </c>
      <c r="N345" s="557">
        <v>380</v>
      </c>
      <c r="O345" s="558">
        <v>28140</v>
      </c>
      <c r="P345" s="558">
        <v>7152</v>
      </c>
      <c r="Q345" s="559">
        <v>6</v>
      </c>
      <c r="R345" s="556"/>
      <c r="S345" s="559"/>
      <c r="T345" s="573">
        <f t="shared" si="25"/>
        <v>0</v>
      </c>
      <c r="U345" s="574">
        <f t="shared" si="26"/>
        <v>0</v>
      </c>
      <c r="V345" s="557"/>
      <c r="W345" s="558"/>
      <c r="X345" s="560"/>
      <c r="Y345" s="559"/>
      <c r="Z345" s="556"/>
      <c r="AA345" s="557"/>
      <c r="AB345" s="557"/>
      <c r="AC345" s="558"/>
      <c r="AD345" s="558"/>
      <c r="AE345" s="561"/>
      <c r="AF345" s="556"/>
      <c r="AG345" s="558"/>
    </row>
    <row r="346" spans="1:33">
      <c r="A346" s="554" t="s">
        <v>81</v>
      </c>
      <c r="B346" s="544" t="s">
        <v>841</v>
      </c>
      <c r="C346" s="545"/>
      <c r="D346" s="554">
        <v>217989</v>
      </c>
      <c r="E346" s="562">
        <v>10</v>
      </c>
      <c r="F346" s="571">
        <f t="shared" si="23"/>
        <v>32782</v>
      </c>
      <c r="G346" s="555">
        <f t="shared" si="24"/>
        <v>38934.33</v>
      </c>
      <c r="H346" s="557">
        <v>26294</v>
      </c>
      <c r="I346" s="558">
        <v>34670.33</v>
      </c>
      <c r="J346" s="557">
        <v>186</v>
      </c>
      <c r="K346" s="559">
        <v>711</v>
      </c>
      <c r="L346" s="556">
        <v>6302</v>
      </c>
      <c r="M346" s="557"/>
      <c r="N346" s="557"/>
      <c r="O346" s="558">
        <v>3553</v>
      </c>
      <c r="P346" s="558"/>
      <c r="Q346" s="559"/>
      <c r="R346" s="556"/>
      <c r="S346" s="559"/>
      <c r="T346" s="573">
        <f t="shared" si="25"/>
        <v>0</v>
      </c>
      <c r="U346" s="574">
        <f t="shared" si="26"/>
        <v>0</v>
      </c>
      <c r="V346" s="557"/>
      <c r="W346" s="558"/>
      <c r="X346" s="560"/>
      <c r="Y346" s="559"/>
      <c r="Z346" s="556"/>
      <c r="AA346" s="557"/>
      <c r="AB346" s="557"/>
      <c r="AC346" s="558"/>
      <c r="AD346" s="558"/>
      <c r="AE346" s="561"/>
      <c r="AF346" s="556"/>
      <c r="AG346" s="558"/>
    </row>
    <row r="347" spans="1:33">
      <c r="A347" s="554" t="s">
        <v>81</v>
      </c>
      <c r="B347" s="544" t="s">
        <v>842</v>
      </c>
      <c r="C347" s="545"/>
      <c r="D347" s="554">
        <v>217837</v>
      </c>
      <c r="E347" s="562">
        <v>10</v>
      </c>
      <c r="F347" s="571">
        <f t="shared" si="23"/>
        <v>29287</v>
      </c>
      <c r="G347" s="555">
        <f t="shared" si="24"/>
        <v>34578.79</v>
      </c>
      <c r="H347" s="557">
        <v>21072</v>
      </c>
      <c r="I347" s="558">
        <v>24247.79</v>
      </c>
      <c r="J347" s="557">
        <v>672</v>
      </c>
      <c r="K347" s="559">
        <v>385</v>
      </c>
      <c r="L347" s="556">
        <v>3705</v>
      </c>
      <c r="M347" s="557">
        <v>3838</v>
      </c>
      <c r="N347" s="557"/>
      <c r="O347" s="558">
        <v>4923</v>
      </c>
      <c r="P347" s="558">
        <v>5023</v>
      </c>
      <c r="Q347" s="559"/>
      <c r="R347" s="556"/>
      <c r="S347" s="559"/>
      <c r="T347" s="573">
        <f t="shared" si="25"/>
        <v>0</v>
      </c>
      <c r="U347" s="574">
        <f t="shared" si="26"/>
        <v>0</v>
      </c>
      <c r="V347" s="557"/>
      <c r="W347" s="558"/>
      <c r="X347" s="560"/>
      <c r="Y347" s="559"/>
      <c r="Z347" s="556"/>
      <c r="AA347" s="557"/>
      <c r="AB347" s="557"/>
      <c r="AC347" s="558"/>
      <c r="AD347" s="558"/>
      <c r="AE347" s="561"/>
      <c r="AF347" s="556"/>
      <c r="AG347" s="558"/>
    </row>
    <row r="348" spans="1:33">
      <c r="A348" s="554" t="s">
        <v>81</v>
      </c>
      <c r="B348" s="544" t="s">
        <v>843</v>
      </c>
      <c r="C348" s="567" t="s">
        <v>381</v>
      </c>
      <c r="D348" s="554">
        <v>217712</v>
      </c>
      <c r="E348" s="562">
        <v>10</v>
      </c>
      <c r="F348" s="571">
        <f t="shared" si="23"/>
        <v>60944</v>
      </c>
      <c r="G348" s="555">
        <f t="shared" si="24"/>
        <v>65141.969999999994</v>
      </c>
      <c r="H348" s="557">
        <v>44542</v>
      </c>
      <c r="I348" s="558">
        <v>51761.969999999994</v>
      </c>
      <c r="J348" s="557">
        <v>346</v>
      </c>
      <c r="K348" s="559">
        <v>1632</v>
      </c>
      <c r="L348" s="556">
        <v>12243</v>
      </c>
      <c r="M348" s="557">
        <v>3813</v>
      </c>
      <c r="N348" s="557"/>
      <c r="O348" s="558">
        <v>11748</v>
      </c>
      <c r="P348" s="558"/>
      <c r="Q348" s="559"/>
      <c r="R348" s="556"/>
      <c r="S348" s="559"/>
      <c r="T348" s="573">
        <f t="shared" si="25"/>
        <v>0</v>
      </c>
      <c r="U348" s="574">
        <f t="shared" si="26"/>
        <v>0</v>
      </c>
      <c r="V348" s="557"/>
      <c r="W348" s="558"/>
      <c r="X348" s="560"/>
      <c r="Y348" s="559"/>
      <c r="Z348" s="556"/>
      <c r="AA348" s="557"/>
      <c r="AB348" s="557"/>
      <c r="AC348" s="558"/>
      <c r="AD348" s="558"/>
      <c r="AE348" s="561"/>
      <c r="AF348" s="556"/>
      <c r="AG348" s="558"/>
    </row>
    <row r="349" spans="1:33">
      <c r="A349" s="554" t="s">
        <v>81</v>
      </c>
      <c r="B349" s="544" t="s">
        <v>844</v>
      </c>
      <c r="C349" s="545"/>
      <c r="D349" s="554">
        <v>218672</v>
      </c>
      <c r="E349" s="562">
        <v>10</v>
      </c>
      <c r="F349" s="571">
        <f t="shared" si="23"/>
        <v>34947</v>
      </c>
      <c r="G349" s="555">
        <f t="shared" si="24"/>
        <v>37044</v>
      </c>
      <c r="H349" s="557">
        <v>34646</v>
      </c>
      <c r="I349" s="558">
        <v>36185</v>
      </c>
      <c r="J349" s="557">
        <v>301</v>
      </c>
      <c r="K349" s="559">
        <v>505</v>
      </c>
      <c r="L349" s="556">
        <v>0</v>
      </c>
      <c r="M349" s="557"/>
      <c r="N349" s="557"/>
      <c r="O349" s="558">
        <v>354</v>
      </c>
      <c r="P349" s="558"/>
      <c r="Q349" s="559"/>
      <c r="R349" s="556"/>
      <c r="S349" s="559"/>
      <c r="T349" s="573">
        <f t="shared" si="25"/>
        <v>0</v>
      </c>
      <c r="U349" s="574">
        <f t="shared" si="26"/>
        <v>0</v>
      </c>
      <c r="V349" s="557"/>
      <c r="W349" s="558"/>
      <c r="X349" s="560"/>
      <c r="Y349" s="559"/>
      <c r="Z349" s="556"/>
      <c r="AA349" s="557"/>
      <c r="AB349" s="557"/>
      <c r="AC349" s="558"/>
      <c r="AD349" s="558"/>
      <c r="AE349" s="561"/>
      <c r="AF349" s="556"/>
      <c r="AG349" s="558"/>
    </row>
    <row r="350" spans="1:33">
      <c r="A350" s="554" t="s">
        <v>81</v>
      </c>
      <c r="B350" s="544" t="s">
        <v>845</v>
      </c>
      <c r="C350" s="545"/>
      <c r="D350" s="554">
        <v>218681</v>
      </c>
      <c r="E350" s="562">
        <v>10</v>
      </c>
      <c r="F350" s="571">
        <f t="shared" si="23"/>
        <v>21981</v>
      </c>
      <c r="G350" s="555">
        <f t="shared" si="24"/>
        <v>24064</v>
      </c>
      <c r="H350" s="557">
        <v>21981</v>
      </c>
      <c r="I350" s="558">
        <v>24064</v>
      </c>
      <c r="J350" s="557">
        <v>0</v>
      </c>
      <c r="K350" s="559">
        <v>0</v>
      </c>
      <c r="L350" s="556">
        <v>0</v>
      </c>
      <c r="M350" s="557"/>
      <c r="N350" s="557"/>
      <c r="O350" s="558"/>
      <c r="P350" s="558"/>
      <c r="Q350" s="559"/>
      <c r="R350" s="556"/>
      <c r="S350" s="559"/>
      <c r="T350" s="573">
        <f t="shared" si="25"/>
        <v>0</v>
      </c>
      <c r="U350" s="574">
        <f t="shared" si="26"/>
        <v>0</v>
      </c>
      <c r="V350" s="557"/>
      <c r="W350" s="558"/>
      <c r="X350" s="560"/>
      <c r="Y350" s="559"/>
      <c r="Z350" s="556"/>
      <c r="AA350" s="557"/>
      <c r="AB350" s="557"/>
      <c r="AC350" s="558"/>
      <c r="AD350" s="558"/>
      <c r="AE350" s="561"/>
      <c r="AF350" s="556"/>
      <c r="AG350" s="558"/>
    </row>
    <row r="351" spans="1:33">
      <c r="A351" s="554" t="s">
        <v>81</v>
      </c>
      <c r="B351" s="544" t="s">
        <v>846</v>
      </c>
      <c r="C351" s="545"/>
      <c r="D351" s="554">
        <v>218690</v>
      </c>
      <c r="E351" s="562">
        <v>10</v>
      </c>
      <c r="F351" s="571">
        <f t="shared" si="23"/>
        <v>26375</v>
      </c>
      <c r="G351" s="555">
        <f t="shared" si="24"/>
        <v>28405</v>
      </c>
      <c r="H351" s="557">
        <v>22605</v>
      </c>
      <c r="I351" s="558">
        <v>24391</v>
      </c>
      <c r="J351" s="557">
        <v>3500</v>
      </c>
      <c r="K351" s="559">
        <v>3777</v>
      </c>
      <c r="L351" s="556">
        <v>270</v>
      </c>
      <c r="M351" s="557"/>
      <c r="N351" s="557"/>
      <c r="O351" s="558">
        <v>237</v>
      </c>
      <c r="P351" s="558"/>
      <c r="Q351" s="559"/>
      <c r="R351" s="556"/>
      <c r="S351" s="559"/>
      <c r="T351" s="573">
        <f t="shared" si="25"/>
        <v>0</v>
      </c>
      <c r="U351" s="574">
        <f t="shared" si="26"/>
        <v>0</v>
      </c>
      <c r="V351" s="557"/>
      <c r="W351" s="558"/>
      <c r="X351" s="560"/>
      <c r="Y351" s="559"/>
      <c r="Z351" s="556"/>
      <c r="AA351" s="557"/>
      <c r="AB351" s="557"/>
      <c r="AC351" s="558"/>
      <c r="AD351" s="558"/>
      <c r="AE351" s="561"/>
      <c r="AF351" s="556"/>
      <c r="AG351" s="558"/>
    </row>
    <row r="352" spans="1:33">
      <c r="A352" s="554" t="s">
        <v>81</v>
      </c>
      <c r="B352" s="544" t="s">
        <v>847</v>
      </c>
      <c r="C352" s="545"/>
      <c r="D352" s="554">
        <v>218706</v>
      </c>
      <c r="E352" s="562">
        <v>10</v>
      </c>
      <c r="F352" s="571">
        <f t="shared" si="23"/>
        <v>10674</v>
      </c>
      <c r="G352" s="555">
        <f t="shared" si="24"/>
        <v>14034</v>
      </c>
      <c r="H352" s="557">
        <v>9332</v>
      </c>
      <c r="I352" s="558">
        <v>11533</v>
      </c>
      <c r="J352" s="557">
        <v>1342</v>
      </c>
      <c r="K352" s="559">
        <v>2501</v>
      </c>
      <c r="L352" s="556">
        <v>0</v>
      </c>
      <c r="M352" s="557"/>
      <c r="N352" s="557"/>
      <c r="O352" s="558"/>
      <c r="P352" s="558"/>
      <c r="Q352" s="559"/>
      <c r="R352" s="556"/>
      <c r="S352" s="559"/>
      <c r="T352" s="573">
        <f t="shared" si="25"/>
        <v>0</v>
      </c>
      <c r="U352" s="574">
        <f t="shared" si="26"/>
        <v>0</v>
      </c>
      <c r="V352" s="557"/>
      <c r="W352" s="558"/>
      <c r="X352" s="560"/>
      <c r="Y352" s="559"/>
      <c r="Z352" s="556"/>
      <c r="AA352" s="557"/>
      <c r="AB352" s="557"/>
      <c r="AC352" s="558"/>
      <c r="AD352" s="558"/>
      <c r="AE352" s="561"/>
      <c r="AF352" s="556"/>
      <c r="AG352" s="558"/>
    </row>
    <row r="353" spans="1:33">
      <c r="A353" s="554" t="s">
        <v>81</v>
      </c>
      <c r="B353" s="544" t="s">
        <v>848</v>
      </c>
      <c r="C353" s="545"/>
      <c r="D353" s="554">
        <v>218955</v>
      </c>
      <c r="E353" s="562">
        <v>10</v>
      </c>
      <c r="F353" s="571">
        <f t="shared" si="23"/>
        <v>18866</v>
      </c>
      <c r="G353" s="555">
        <f t="shared" si="24"/>
        <v>16747.490000000002</v>
      </c>
      <c r="H353" s="557">
        <v>18524</v>
      </c>
      <c r="I353" s="558">
        <v>16267.490000000002</v>
      </c>
      <c r="J353" s="557">
        <v>220</v>
      </c>
      <c r="K353" s="559">
        <v>348</v>
      </c>
      <c r="L353" s="556">
        <v>122</v>
      </c>
      <c r="M353" s="557"/>
      <c r="N353" s="557"/>
      <c r="O353" s="558">
        <v>132</v>
      </c>
      <c r="P353" s="558"/>
      <c r="Q353" s="559"/>
      <c r="R353" s="556"/>
      <c r="S353" s="559"/>
      <c r="T353" s="573">
        <f t="shared" si="25"/>
        <v>0</v>
      </c>
      <c r="U353" s="574">
        <f t="shared" si="26"/>
        <v>0</v>
      </c>
      <c r="V353" s="557"/>
      <c r="W353" s="558"/>
      <c r="X353" s="560"/>
      <c r="Y353" s="559"/>
      <c r="Z353" s="556"/>
      <c r="AA353" s="557"/>
      <c r="AB353" s="557"/>
      <c r="AC353" s="558"/>
      <c r="AD353" s="558"/>
      <c r="AE353" s="561"/>
      <c r="AF353" s="556"/>
      <c r="AG353" s="558"/>
    </row>
    <row r="354" spans="1:33" ht="15">
      <c r="A354" s="465" t="s">
        <v>82</v>
      </c>
      <c r="B354" s="466" t="s">
        <v>613</v>
      </c>
      <c r="C354" s="467"/>
      <c r="D354" s="465">
        <v>220862</v>
      </c>
      <c r="E354" s="447">
        <v>1</v>
      </c>
      <c r="F354" s="571">
        <f t="shared" si="23"/>
        <v>422576</v>
      </c>
      <c r="G354" s="555">
        <f t="shared" si="24"/>
        <v>436950</v>
      </c>
      <c r="H354" s="365">
        <v>351866</v>
      </c>
      <c r="I354" s="468">
        <v>342254</v>
      </c>
      <c r="J354" s="469">
        <v>7800</v>
      </c>
      <c r="K354" s="468">
        <v>18793</v>
      </c>
      <c r="L354" s="360">
        <v>42851</v>
      </c>
      <c r="M354" s="365">
        <v>368</v>
      </c>
      <c r="N354" s="365">
        <v>16665</v>
      </c>
      <c r="O354" s="524">
        <v>53887</v>
      </c>
      <c r="P354" s="524">
        <v>150</v>
      </c>
      <c r="Q354" s="525">
        <v>18709</v>
      </c>
      <c r="R354" s="360">
        <v>3026</v>
      </c>
      <c r="S354" s="470">
        <v>3157</v>
      </c>
      <c r="T354" s="573">
        <f t="shared" si="25"/>
        <v>83230</v>
      </c>
      <c r="U354" s="574">
        <f t="shared" si="26"/>
        <v>75706</v>
      </c>
      <c r="V354" s="365">
        <v>55321</v>
      </c>
      <c r="W354" s="468">
        <v>46191</v>
      </c>
      <c r="X354" s="471">
        <v>10152</v>
      </c>
      <c r="Y354" s="468">
        <v>842</v>
      </c>
      <c r="Z354" s="360">
        <v>10405</v>
      </c>
      <c r="AA354" s="365">
        <v>51</v>
      </c>
      <c r="AB354" s="365">
        <v>1662</v>
      </c>
      <c r="AC354" s="468">
        <v>18120</v>
      </c>
      <c r="AD354" s="468">
        <v>132</v>
      </c>
      <c r="AE354" s="468">
        <v>4094</v>
      </c>
      <c r="AF354" s="360">
        <v>5639</v>
      </c>
      <c r="AG354" s="468">
        <v>6327</v>
      </c>
    </row>
    <row r="355" spans="1:33" ht="15">
      <c r="A355" s="465" t="s">
        <v>82</v>
      </c>
      <c r="B355" s="466" t="s">
        <v>614</v>
      </c>
      <c r="C355" s="467"/>
      <c r="D355" s="465">
        <v>221759</v>
      </c>
      <c r="E355" s="444">
        <v>1</v>
      </c>
      <c r="F355" s="571">
        <f t="shared" si="23"/>
        <v>567964</v>
      </c>
      <c r="G355" s="555">
        <f t="shared" si="24"/>
        <v>661664</v>
      </c>
      <c r="H355" s="365">
        <v>487661</v>
      </c>
      <c r="I355" s="468">
        <v>572222</v>
      </c>
      <c r="J355" s="469">
        <v>969</v>
      </c>
      <c r="K355" s="468">
        <v>24</v>
      </c>
      <c r="L355" s="360">
        <v>72</v>
      </c>
      <c r="M355" s="365">
        <v>792</v>
      </c>
      <c r="N355" s="472">
        <v>78219</v>
      </c>
      <c r="O355" s="524">
        <v>1920</v>
      </c>
      <c r="P355" s="524">
        <v>0</v>
      </c>
      <c r="Q355" s="525">
        <v>83546</v>
      </c>
      <c r="R355" s="360">
        <v>251</v>
      </c>
      <c r="S355" s="470">
        <v>3952</v>
      </c>
      <c r="T355" s="573">
        <f t="shared" si="25"/>
        <v>129650</v>
      </c>
      <c r="U355" s="574">
        <f t="shared" si="26"/>
        <v>92816.900000000009</v>
      </c>
      <c r="V355" s="365">
        <v>109147</v>
      </c>
      <c r="W355" s="468">
        <v>78665.600000000006</v>
      </c>
      <c r="X355" s="471">
        <v>1267</v>
      </c>
      <c r="Y355" s="473">
        <v>353</v>
      </c>
      <c r="Z355" s="360">
        <v>6803</v>
      </c>
      <c r="AA355" s="365">
        <v>75</v>
      </c>
      <c r="AB355" s="365">
        <v>11855</v>
      </c>
      <c r="AC355" s="468">
        <v>9244</v>
      </c>
      <c r="AD355" s="468">
        <v>0</v>
      </c>
      <c r="AE355" s="468">
        <v>1893.3</v>
      </c>
      <c r="AF355" s="474">
        <v>503</v>
      </c>
      <c r="AG355" s="473">
        <v>2661</v>
      </c>
    </row>
    <row r="356" spans="1:33" ht="15">
      <c r="A356" s="465" t="s">
        <v>82</v>
      </c>
      <c r="B356" s="466" t="s">
        <v>618</v>
      </c>
      <c r="C356" s="476" t="s">
        <v>668</v>
      </c>
      <c r="D356" s="465">
        <v>221838</v>
      </c>
      <c r="E356" s="464">
        <v>2</v>
      </c>
      <c r="F356" s="571">
        <f t="shared" si="23"/>
        <v>182408</v>
      </c>
      <c r="G356" s="555">
        <f t="shared" si="24"/>
        <v>183269</v>
      </c>
      <c r="H356" s="365">
        <v>154263</v>
      </c>
      <c r="I356" s="468">
        <v>143834</v>
      </c>
      <c r="J356" s="469">
        <v>14260</v>
      </c>
      <c r="K356" s="468">
        <v>24389</v>
      </c>
      <c r="L356" s="360">
        <v>12537</v>
      </c>
      <c r="M356" s="365">
        <v>171</v>
      </c>
      <c r="N356" s="365">
        <v>671</v>
      </c>
      <c r="O356" s="524">
        <v>13721</v>
      </c>
      <c r="P356" s="524">
        <v>0</v>
      </c>
      <c r="Q356" s="525">
        <v>926</v>
      </c>
      <c r="R356" s="360">
        <v>506</v>
      </c>
      <c r="S356" s="470">
        <v>399</v>
      </c>
      <c r="T356" s="573">
        <f t="shared" si="25"/>
        <v>32856</v>
      </c>
      <c r="U356" s="574">
        <f t="shared" si="26"/>
        <v>30967</v>
      </c>
      <c r="V356" s="365">
        <v>26392</v>
      </c>
      <c r="W356" s="468">
        <v>15785</v>
      </c>
      <c r="X356" s="471">
        <v>1487</v>
      </c>
      <c r="Y356" s="468">
        <v>9246</v>
      </c>
      <c r="Z356" s="360">
        <v>1835</v>
      </c>
      <c r="AA356" s="365">
        <v>0</v>
      </c>
      <c r="AB356" s="365">
        <v>140</v>
      </c>
      <c r="AC356" s="468">
        <v>4974</v>
      </c>
      <c r="AD356" s="468">
        <v>0</v>
      </c>
      <c r="AE356" s="468">
        <v>279</v>
      </c>
      <c r="AF356" s="360">
        <v>3002</v>
      </c>
      <c r="AG356" s="468">
        <v>683</v>
      </c>
    </row>
    <row r="357" spans="1:33" ht="15">
      <c r="A357" s="465" t="s">
        <v>82</v>
      </c>
      <c r="B357" s="466" t="s">
        <v>615</v>
      </c>
      <c r="C357" s="467"/>
      <c r="D357" s="465">
        <v>219602</v>
      </c>
      <c r="E357" s="475">
        <v>3</v>
      </c>
      <c r="F357" s="571">
        <f t="shared" si="23"/>
        <v>231958</v>
      </c>
      <c r="G357" s="555">
        <f t="shared" si="24"/>
        <v>240204</v>
      </c>
      <c r="H357" s="365">
        <v>154611</v>
      </c>
      <c r="I357" s="468">
        <v>161169</v>
      </c>
      <c r="J357" s="365">
        <v>15145</v>
      </c>
      <c r="K357" s="468">
        <v>14314</v>
      </c>
      <c r="L357" s="360">
        <v>59191</v>
      </c>
      <c r="M357" s="365">
        <v>0</v>
      </c>
      <c r="N357" s="365">
        <v>2411</v>
      </c>
      <c r="O357" s="524">
        <v>61326</v>
      </c>
      <c r="P357" s="524">
        <v>0</v>
      </c>
      <c r="Q357" s="525">
        <v>2877</v>
      </c>
      <c r="R357" s="360">
        <v>600</v>
      </c>
      <c r="S357" s="470">
        <v>518</v>
      </c>
      <c r="T357" s="573">
        <f t="shared" si="25"/>
        <v>13956</v>
      </c>
      <c r="U357" s="574">
        <f t="shared" si="26"/>
        <v>14309</v>
      </c>
      <c r="V357" s="365">
        <v>6356</v>
      </c>
      <c r="W357" s="468">
        <v>5362</v>
      </c>
      <c r="X357" s="471">
        <v>496</v>
      </c>
      <c r="Y357" s="468">
        <v>330</v>
      </c>
      <c r="Z357" s="360">
        <v>6932</v>
      </c>
      <c r="AA357" s="365">
        <v>0</v>
      </c>
      <c r="AB357" s="365">
        <v>55</v>
      </c>
      <c r="AC357" s="468">
        <v>8046</v>
      </c>
      <c r="AD357" s="468">
        <v>0</v>
      </c>
      <c r="AE357" s="468">
        <v>359</v>
      </c>
      <c r="AF357" s="360">
        <v>117</v>
      </c>
      <c r="AG357" s="468">
        <v>212</v>
      </c>
    </row>
    <row r="358" spans="1:33" ht="15">
      <c r="A358" s="465" t="s">
        <v>82</v>
      </c>
      <c r="B358" s="466" t="s">
        <v>616</v>
      </c>
      <c r="C358" s="467"/>
      <c r="D358" s="465">
        <v>220075</v>
      </c>
      <c r="E358" s="444">
        <v>3</v>
      </c>
      <c r="F358" s="571">
        <f t="shared" si="23"/>
        <v>315496</v>
      </c>
      <c r="G358" s="555">
        <f t="shared" si="24"/>
        <v>323990</v>
      </c>
      <c r="H358" s="365">
        <v>239142</v>
      </c>
      <c r="I358" s="468">
        <v>239606</v>
      </c>
      <c r="J358" s="575">
        <v>9334</v>
      </c>
      <c r="K358" s="468">
        <v>8300</v>
      </c>
      <c r="L358" s="360">
        <v>40456</v>
      </c>
      <c r="M358" s="365">
        <v>9831</v>
      </c>
      <c r="N358" s="365">
        <v>14290</v>
      </c>
      <c r="O358" s="524">
        <v>45642</v>
      </c>
      <c r="P358" s="524">
        <v>8559</v>
      </c>
      <c r="Q358" s="525">
        <v>19323</v>
      </c>
      <c r="R358" s="360">
        <v>2443</v>
      </c>
      <c r="S358" s="470">
        <v>2560</v>
      </c>
      <c r="T358" s="573">
        <f t="shared" si="25"/>
        <v>41178</v>
      </c>
      <c r="U358" s="574">
        <f t="shared" si="26"/>
        <v>35731</v>
      </c>
      <c r="V358" s="365">
        <v>24434</v>
      </c>
      <c r="W358" s="468">
        <v>19506</v>
      </c>
      <c r="X358" s="471">
        <v>5183</v>
      </c>
      <c r="Y358" s="468">
        <v>958</v>
      </c>
      <c r="Z358" s="360">
        <v>8135</v>
      </c>
      <c r="AA358" s="365">
        <v>102</v>
      </c>
      <c r="AB358" s="365">
        <v>1622</v>
      </c>
      <c r="AC358" s="468">
        <v>11005</v>
      </c>
      <c r="AD358" s="468">
        <v>354</v>
      </c>
      <c r="AE358" s="468">
        <v>1846</v>
      </c>
      <c r="AF358" s="360">
        <v>1702</v>
      </c>
      <c r="AG358" s="468">
        <v>2062</v>
      </c>
    </row>
    <row r="359" spans="1:33" ht="15">
      <c r="A359" s="465" t="s">
        <v>82</v>
      </c>
      <c r="B359" s="466" t="s">
        <v>617</v>
      </c>
      <c r="C359" s="467"/>
      <c r="D359" s="465">
        <v>220978</v>
      </c>
      <c r="E359" s="444">
        <v>3</v>
      </c>
      <c r="F359" s="571">
        <f t="shared" si="23"/>
        <v>618769</v>
      </c>
      <c r="G359" s="555">
        <f t="shared" si="24"/>
        <v>615412</v>
      </c>
      <c r="H359" s="365">
        <v>530431</v>
      </c>
      <c r="I359" s="468">
        <v>529290</v>
      </c>
      <c r="J359" s="469">
        <v>10051</v>
      </c>
      <c r="K359" s="468">
        <v>200</v>
      </c>
      <c r="L359" s="360">
        <v>48763</v>
      </c>
      <c r="M359" s="365">
        <v>2748</v>
      </c>
      <c r="N359" s="365">
        <v>22415</v>
      </c>
      <c r="O359" s="524">
        <v>58547</v>
      </c>
      <c r="P359" s="524">
        <v>237</v>
      </c>
      <c r="Q359" s="525">
        <v>22585</v>
      </c>
      <c r="R359" s="360">
        <v>4361</v>
      </c>
      <c r="S359" s="470">
        <v>4553</v>
      </c>
      <c r="T359" s="573">
        <f t="shared" si="25"/>
        <v>41595</v>
      </c>
      <c r="U359" s="574">
        <f t="shared" si="26"/>
        <v>45612</v>
      </c>
      <c r="V359" s="365">
        <v>28178</v>
      </c>
      <c r="W359" s="468">
        <v>27998</v>
      </c>
      <c r="X359" s="471">
        <v>2342</v>
      </c>
      <c r="Y359" s="468">
        <v>4436</v>
      </c>
      <c r="Z359" s="360">
        <v>5425</v>
      </c>
      <c r="AA359" s="365">
        <v>379</v>
      </c>
      <c r="AB359" s="365">
        <v>2190</v>
      </c>
      <c r="AC359" s="468">
        <v>9689</v>
      </c>
      <c r="AD359" s="468">
        <v>261</v>
      </c>
      <c r="AE359" s="468">
        <v>1192</v>
      </c>
      <c r="AF359" s="360">
        <v>3081</v>
      </c>
      <c r="AG359" s="468">
        <v>2036</v>
      </c>
    </row>
    <row r="360" spans="1:33" ht="15">
      <c r="A360" s="465" t="s">
        <v>82</v>
      </c>
      <c r="B360" s="466" t="s">
        <v>619</v>
      </c>
      <c r="C360" s="467"/>
      <c r="D360" s="465">
        <v>221847</v>
      </c>
      <c r="E360" s="447">
        <v>3</v>
      </c>
      <c r="F360" s="571">
        <f t="shared" si="23"/>
        <v>260418</v>
      </c>
      <c r="G360" s="555">
        <f t="shared" si="24"/>
        <v>214326</v>
      </c>
      <c r="H360" s="365">
        <v>219607</v>
      </c>
      <c r="I360" s="468">
        <v>177351</v>
      </c>
      <c r="J360" s="469">
        <v>14260</v>
      </c>
      <c r="K360" s="468">
        <v>7171</v>
      </c>
      <c r="L360" s="360">
        <v>15262</v>
      </c>
      <c r="M360" s="365"/>
      <c r="N360" s="365">
        <v>8189</v>
      </c>
      <c r="O360" s="524">
        <v>18429</v>
      </c>
      <c r="P360" s="524">
        <v>0</v>
      </c>
      <c r="Q360" s="525">
        <v>7424</v>
      </c>
      <c r="R360" s="360">
        <v>3100</v>
      </c>
      <c r="S360" s="470">
        <v>3951</v>
      </c>
      <c r="T360" s="573">
        <f t="shared" si="25"/>
        <v>30181</v>
      </c>
      <c r="U360" s="574">
        <f t="shared" si="26"/>
        <v>18144</v>
      </c>
      <c r="V360" s="365">
        <v>18854</v>
      </c>
      <c r="W360" s="468">
        <v>6516</v>
      </c>
      <c r="X360" s="471">
        <v>2014</v>
      </c>
      <c r="Y360" s="468">
        <v>1463</v>
      </c>
      <c r="Z360" s="360">
        <v>5845</v>
      </c>
      <c r="AA360" s="365">
        <v>42</v>
      </c>
      <c r="AB360" s="365">
        <v>467</v>
      </c>
      <c r="AC360" s="468">
        <v>6488</v>
      </c>
      <c r="AD360" s="468">
        <v>0</v>
      </c>
      <c r="AE360" s="468">
        <v>2048</v>
      </c>
      <c r="AF360" s="360">
        <v>2959</v>
      </c>
      <c r="AG360" s="468">
        <v>1629</v>
      </c>
    </row>
    <row r="361" spans="1:33" ht="15">
      <c r="A361" s="465" t="s">
        <v>82</v>
      </c>
      <c r="B361" s="466" t="s">
        <v>620</v>
      </c>
      <c r="C361" s="467"/>
      <c r="D361" s="465">
        <v>221740</v>
      </c>
      <c r="E361" s="444">
        <v>3</v>
      </c>
      <c r="F361" s="571">
        <f t="shared" si="23"/>
        <v>241728</v>
      </c>
      <c r="G361" s="555">
        <f t="shared" si="24"/>
        <v>251180.3</v>
      </c>
      <c r="H361" s="365">
        <v>234753</v>
      </c>
      <c r="I361" s="468">
        <v>234245</v>
      </c>
      <c r="J361" s="469">
        <v>1096</v>
      </c>
      <c r="K361" s="468">
        <v>4434</v>
      </c>
      <c r="L361" s="360">
        <v>4710</v>
      </c>
      <c r="M361" s="365">
        <v>0</v>
      </c>
      <c r="N361" s="365">
        <v>0</v>
      </c>
      <c r="O361" s="524">
        <v>10464</v>
      </c>
      <c r="P361" s="524">
        <v>0</v>
      </c>
      <c r="Q361" s="525">
        <v>920</v>
      </c>
      <c r="R361" s="360">
        <v>1169</v>
      </c>
      <c r="S361" s="470">
        <v>1117.3</v>
      </c>
      <c r="T361" s="573">
        <f t="shared" si="25"/>
        <v>25246</v>
      </c>
      <c r="U361" s="574">
        <f t="shared" si="26"/>
        <v>26225</v>
      </c>
      <c r="V361" s="365">
        <v>19214</v>
      </c>
      <c r="W361" s="468">
        <v>20337</v>
      </c>
      <c r="X361" s="471">
        <v>2173</v>
      </c>
      <c r="Y361" s="468">
        <v>49</v>
      </c>
      <c r="Z361" s="360">
        <v>2317</v>
      </c>
      <c r="AA361" s="365">
        <v>318</v>
      </c>
      <c r="AB361" s="365">
        <v>0</v>
      </c>
      <c r="AC361" s="468">
        <v>3687</v>
      </c>
      <c r="AD361" s="468">
        <v>1158</v>
      </c>
      <c r="AE361" s="468">
        <v>393</v>
      </c>
      <c r="AF361" s="360">
        <v>1224</v>
      </c>
      <c r="AG361" s="468">
        <v>601</v>
      </c>
    </row>
    <row r="362" spans="1:33" ht="15">
      <c r="A362" s="465" t="s">
        <v>82</v>
      </c>
      <c r="B362" s="466" t="s">
        <v>621</v>
      </c>
      <c r="C362" s="467" t="s">
        <v>667</v>
      </c>
      <c r="D362" s="465">
        <v>221768</v>
      </c>
      <c r="E362" s="444">
        <v>5</v>
      </c>
      <c r="F362" s="571">
        <f t="shared" si="23"/>
        <v>189533</v>
      </c>
      <c r="G362" s="555">
        <f t="shared" si="24"/>
        <v>204980</v>
      </c>
      <c r="H362" s="365">
        <v>176444</v>
      </c>
      <c r="I362" s="468">
        <v>168049</v>
      </c>
      <c r="J362" s="469">
        <v>1324</v>
      </c>
      <c r="K362" s="468">
        <v>20985</v>
      </c>
      <c r="L362" s="360">
        <v>8351</v>
      </c>
      <c r="M362" s="365">
        <v>3191</v>
      </c>
      <c r="N362" s="365">
        <v>51</v>
      </c>
      <c r="O362" s="524">
        <v>13869</v>
      </c>
      <c r="P362" s="524">
        <v>1758</v>
      </c>
      <c r="Q362" s="525">
        <v>93</v>
      </c>
      <c r="R362" s="360">
        <v>172</v>
      </c>
      <c r="S362" s="367">
        <v>226</v>
      </c>
      <c r="T362" s="573">
        <f t="shared" si="25"/>
        <v>6675</v>
      </c>
      <c r="U362" s="574">
        <f t="shared" si="26"/>
        <v>7227</v>
      </c>
      <c r="V362" s="365">
        <v>2726</v>
      </c>
      <c r="W362" s="468">
        <v>2164</v>
      </c>
      <c r="X362" s="471">
        <v>53</v>
      </c>
      <c r="Y362" s="468">
        <v>15</v>
      </c>
      <c r="Z362" s="360">
        <v>3337</v>
      </c>
      <c r="AA362" s="365">
        <v>559</v>
      </c>
      <c r="AB362" s="365">
        <v>0</v>
      </c>
      <c r="AC362" s="468">
        <v>5015</v>
      </c>
      <c r="AD362" s="468">
        <v>33</v>
      </c>
      <c r="AE362" s="369"/>
      <c r="AF362" s="360">
        <v>0</v>
      </c>
      <c r="AG362" s="366"/>
    </row>
    <row r="363" spans="1:33" ht="15">
      <c r="A363" s="465" t="s">
        <v>82</v>
      </c>
      <c r="B363" s="466" t="s">
        <v>622</v>
      </c>
      <c r="C363" s="467"/>
      <c r="D363" s="465">
        <v>219824</v>
      </c>
      <c r="E363" s="444">
        <v>8</v>
      </c>
      <c r="F363" s="571">
        <f t="shared" si="23"/>
        <v>206006</v>
      </c>
      <c r="G363" s="555">
        <f t="shared" si="24"/>
        <v>212732</v>
      </c>
      <c r="H363" s="365">
        <v>126190</v>
      </c>
      <c r="I363" s="468">
        <v>117490</v>
      </c>
      <c r="J363" s="469">
        <v>9093</v>
      </c>
      <c r="K363" s="468">
        <v>17000</v>
      </c>
      <c r="L363" s="360">
        <v>40317</v>
      </c>
      <c r="M363" s="365">
        <v>0</v>
      </c>
      <c r="N363" s="365">
        <v>30134</v>
      </c>
      <c r="O363" s="524">
        <v>42832</v>
      </c>
      <c r="P363" s="524"/>
      <c r="Q363" s="525">
        <v>34763</v>
      </c>
      <c r="R363" s="360">
        <v>272</v>
      </c>
      <c r="S363" s="470">
        <v>647</v>
      </c>
      <c r="T363" s="573">
        <f t="shared" si="25"/>
        <v>0</v>
      </c>
      <c r="U363" s="574">
        <f t="shared" si="26"/>
        <v>0</v>
      </c>
      <c r="V363" s="365"/>
      <c r="W363" s="366"/>
      <c r="X363" s="368"/>
      <c r="Y363" s="367"/>
      <c r="Z363" s="360"/>
      <c r="AA363" s="365"/>
      <c r="AB363" s="365"/>
      <c r="AC363" s="366"/>
      <c r="AD363" s="366"/>
      <c r="AE363" s="369"/>
      <c r="AF363" s="360"/>
      <c r="AG363" s="366"/>
    </row>
    <row r="364" spans="1:33" ht="15">
      <c r="A364" s="465" t="s">
        <v>82</v>
      </c>
      <c r="B364" s="466" t="s">
        <v>629</v>
      </c>
      <c r="C364" s="476" t="s">
        <v>666</v>
      </c>
      <c r="D364" s="465">
        <v>221184</v>
      </c>
      <c r="E364" s="464">
        <v>8</v>
      </c>
      <c r="F364" s="571">
        <f t="shared" si="23"/>
        <v>188287</v>
      </c>
      <c r="G364" s="555">
        <f t="shared" si="24"/>
        <v>195813.5</v>
      </c>
      <c r="H364" s="365">
        <v>136317</v>
      </c>
      <c r="I364" s="468">
        <v>110553.5</v>
      </c>
      <c r="J364" s="469">
        <v>9434</v>
      </c>
      <c r="K364" s="468">
        <v>39276</v>
      </c>
      <c r="L364" s="360">
        <v>38987</v>
      </c>
      <c r="M364" s="365">
        <v>0</v>
      </c>
      <c r="N364" s="365">
        <v>3447</v>
      </c>
      <c r="O364" s="524">
        <v>40886</v>
      </c>
      <c r="P364" s="524">
        <v>0</v>
      </c>
      <c r="Q364" s="525">
        <v>4958</v>
      </c>
      <c r="R364" s="360">
        <v>102</v>
      </c>
      <c r="S364" s="367">
        <v>140</v>
      </c>
      <c r="T364" s="573">
        <f t="shared" si="25"/>
        <v>0</v>
      </c>
      <c r="U364" s="574">
        <f t="shared" si="26"/>
        <v>0</v>
      </c>
      <c r="V364" s="365"/>
      <c r="W364" s="366"/>
      <c r="X364" s="368"/>
      <c r="Y364" s="367"/>
      <c r="Z364" s="360"/>
      <c r="AA364" s="365"/>
      <c r="AB364" s="365"/>
      <c r="AC364" s="366"/>
      <c r="AD364" s="366"/>
      <c r="AE364" s="369"/>
      <c r="AF364" s="360"/>
      <c r="AG364" s="366"/>
    </row>
    <row r="365" spans="1:33" ht="15">
      <c r="A365" s="465" t="s">
        <v>82</v>
      </c>
      <c r="B365" s="466" t="s">
        <v>623</v>
      </c>
      <c r="C365" s="467"/>
      <c r="D365" s="465">
        <v>221643</v>
      </c>
      <c r="E365" s="444">
        <v>8</v>
      </c>
      <c r="F365" s="571">
        <f t="shared" si="23"/>
        <v>226193</v>
      </c>
      <c r="G365" s="555">
        <f t="shared" si="24"/>
        <v>235683</v>
      </c>
      <c r="H365" s="590">
        <v>164209</v>
      </c>
      <c r="I365" s="468">
        <v>148976</v>
      </c>
      <c r="J365" s="589">
        <v>28803</v>
      </c>
      <c r="K365" s="468">
        <v>52538</v>
      </c>
      <c r="L365" s="360">
        <v>27318</v>
      </c>
      <c r="M365" s="365">
        <v>1367</v>
      </c>
      <c r="N365" s="365">
        <v>4323</v>
      </c>
      <c r="O365" s="524">
        <v>28832</v>
      </c>
      <c r="P365" s="524">
        <v>1323</v>
      </c>
      <c r="Q365" s="525">
        <v>3779</v>
      </c>
      <c r="R365" s="360">
        <v>173</v>
      </c>
      <c r="S365" s="367">
        <v>235</v>
      </c>
      <c r="T365" s="573">
        <f t="shared" si="25"/>
        <v>0</v>
      </c>
      <c r="U365" s="574">
        <f t="shared" si="26"/>
        <v>0</v>
      </c>
      <c r="V365" s="365"/>
      <c r="W365" s="366"/>
      <c r="X365" s="368"/>
      <c r="Y365" s="367"/>
      <c r="Z365" s="360"/>
      <c r="AA365" s="365"/>
      <c r="AB365" s="365"/>
      <c r="AC365" s="366"/>
      <c r="AD365" s="366"/>
      <c r="AE365" s="369"/>
      <c r="AF365" s="360"/>
      <c r="AG365" s="366"/>
    </row>
    <row r="366" spans="1:33" ht="15">
      <c r="A366" s="465" t="s">
        <v>82</v>
      </c>
      <c r="B366" s="466" t="s">
        <v>624</v>
      </c>
      <c r="C366" s="467"/>
      <c r="D366" s="465">
        <v>221485</v>
      </c>
      <c r="E366" s="444">
        <v>8</v>
      </c>
      <c r="F366" s="571">
        <f t="shared" si="23"/>
        <v>285586</v>
      </c>
      <c r="G366" s="555">
        <f t="shared" si="24"/>
        <v>282378</v>
      </c>
      <c r="H366" s="588">
        <v>235</v>
      </c>
      <c r="I366" s="468">
        <v>490</v>
      </c>
      <c r="J366" s="588">
        <v>241596</v>
      </c>
      <c r="K366" s="468">
        <v>242139</v>
      </c>
      <c r="L366" s="360">
        <v>27381</v>
      </c>
      <c r="M366" s="365">
        <v>3855</v>
      </c>
      <c r="N366" s="365">
        <v>12415</v>
      </c>
      <c r="O366" s="524">
        <v>30085</v>
      </c>
      <c r="P366" s="524">
        <v>1734</v>
      </c>
      <c r="Q366" s="525">
        <v>7888</v>
      </c>
      <c r="R366" s="360">
        <v>104</v>
      </c>
      <c r="S366" s="592">
        <v>42</v>
      </c>
      <c r="T366" s="573">
        <f t="shared" si="25"/>
        <v>0</v>
      </c>
      <c r="U366" s="574">
        <f t="shared" si="26"/>
        <v>0</v>
      </c>
      <c r="V366" s="365"/>
      <c r="W366" s="366"/>
      <c r="X366" s="368"/>
      <c r="Y366" s="367"/>
      <c r="Z366" s="360"/>
      <c r="AA366" s="365"/>
      <c r="AB366" s="365"/>
      <c r="AC366" s="366"/>
      <c r="AD366" s="366"/>
      <c r="AE366" s="369"/>
      <c r="AF366" s="360"/>
      <c r="AG366" s="366"/>
    </row>
    <row r="367" spans="1:33" ht="15">
      <c r="A367" s="465" t="s">
        <v>82</v>
      </c>
      <c r="B367" s="466" t="s">
        <v>632</v>
      </c>
      <c r="C367" s="476" t="s">
        <v>666</v>
      </c>
      <c r="D367" s="465">
        <v>222053</v>
      </c>
      <c r="E367" s="464">
        <v>8</v>
      </c>
      <c r="F367" s="571">
        <f t="shared" si="23"/>
        <v>177755</v>
      </c>
      <c r="G367" s="555">
        <f t="shared" si="24"/>
        <v>172295</v>
      </c>
      <c r="H367" s="365">
        <v>124494</v>
      </c>
      <c r="I367" s="468">
        <v>99124</v>
      </c>
      <c r="J367" s="469">
        <v>4641</v>
      </c>
      <c r="K367" s="468">
        <v>23836</v>
      </c>
      <c r="L367" s="360">
        <v>39394</v>
      </c>
      <c r="M367" s="365">
        <v>343</v>
      </c>
      <c r="N367" s="365">
        <v>8452</v>
      </c>
      <c r="O367" s="524">
        <v>40994</v>
      </c>
      <c r="P367" s="524">
        <v>288</v>
      </c>
      <c r="Q367" s="525">
        <v>7473</v>
      </c>
      <c r="R367" s="360">
        <v>431</v>
      </c>
      <c r="S367" s="367">
        <v>580</v>
      </c>
      <c r="T367" s="573">
        <f t="shared" si="25"/>
        <v>0</v>
      </c>
      <c r="U367" s="574">
        <f t="shared" si="26"/>
        <v>0</v>
      </c>
      <c r="V367" s="365"/>
      <c r="W367" s="366"/>
      <c r="X367" s="368"/>
      <c r="Y367" s="367"/>
      <c r="Z367" s="360"/>
      <c r="AA367" s="365"/>
      <c r="AB367" s="365"/>
      <c r="AC367" s="366"/>
      <c r="AD367" s="366"/>
      <c r="AE367" s="369"/>
      <c r="AF367" s="360"/>
      <c r="AG367" s="366"/>
    </row>
    <row r="368" spans="1:33" ht="15">
      <c r="A368" s="465" t="s">
        <v>82</v>
      </c>
      <c r="B368" s="466" t="s">
        <v>625</v>
      </c>
      <c r="C368" s="467"/>
      <c r="D368" s="465">
        <v>219879</v>
      </c>
      <c r="E368" s="444">
        <v>9</v>
      </c>
      <c r="F368" s="571">
        <f t="shared" si="23"/>
        <v>77183</v>
      </c>
      <c r="G368" s="555">
        <f t="shared" si="24"/>
        <v>79753</v>
      </c>
      <c r="H368" s="365">
        <v>53523</v>
      </c>
      <c r="I368" s="468">
        <v>45868</v>
      </c>
      <c r="J368" s="469">
        <v>6649</v>
      </c>
      <c r="K368" s="468">
        <v>10230</v>
      </c>
      <c r="L368" s="360">
        <v>10044</v>
      </c>
      <c r="M368" s="365">
        <v>957</v>
      </c>
      <c r="N368" s="365">
        <v>4650</v>
      </c>
      <c r="O368" s="524">
        <v>10832</v>
      </c>
      <c r="P368" s="524">
        <v>309</v>
      </c>
      <c r="Q368" s="525">
        <v>10992</v>
      </c>
      <c r="R368" s="360">
        <v>1360</v>
      </c>
      <c r="S368" s="591">
        <v>1522</v>
      </c>
      <c r="T368" s="573">
        <f t="shared" si="25"/>
        <v>0</v>
      </c>
      <c r="U368" s="574">
        <f t="shared" si="26"/>
        <v>0</v>
      </c>
      <c r="V368" s="365"/>
      <c r="W368" s="366"/>
      <c r="X368" s="368"/>
      <c r="Y368" s="367"/>
      <c r="Z368" s="360"/>
      <c r="AA368" s="365"/>
      <c r="AB368" s="365"/>
      <c r="AC368" s="366"/>
      <c r="AD368" s="366"/>
      <c r="AE368" s="369"/>
      <c r="AF368" s="360"/>
      <c r="AG368" s="366"/>
    </row>
    <row r="369" spans="1:33" ht="15">
      <c r="A369" s="465" t="s">
        <v>82</v>
      </c>
      <c r="B369" s="466" t="s">
        <v>626</v>
      </c>
      <c r="C369" s="467"/>
      <c r="D369" s="465">
        <v>219888</v>
      </c>
      <c r="E369" s="444">
        <v>9</v>
      </c>
      <c r="F369" s="571">
        <f t="shared" si="23"/>
        <v>112558</v>
      </c>
      <c r="G369" s="555">
        <f t="shared" si="24"/>
        <v>110306</v>
      </c>
      <c r="H369" s="575">
        <v>75972</v>
      </c>
      <c r="I369" s="468">
        <v>45404</v>
      </c>
      <c r="J369" s="469">
        <v>7395</v>
      </c>
      <c r="K369" s="468">
        <v>36640</v>
      </c>
      <c r="L369" s="360">
        <v>15625</v>
      </c>
      <c r="M369" s="365">
        <v>6441</v>
      </c>
      <c r="N369" s="365">
        <v>7018</v>
      </c>
      <c r="O369" s="524">
        <v>16570</v>
      </c>
      <c r="P369" s="524">
        <v>5886</v>
      </c>
      <c r="Q369" s="525">
        <v>5733</v>
      </c>
      <c r="R369" s="360">
        <v>107</v>
      </c>
      <c r="S369" s="367">
        <v>73</v>
      </c>
      <c r="T369" s="573">
        <f t="shared" si="25"/>
        <v>0</v>
      </c>
      <c r="U369" s="574">
        <f t="shared" si="26"/>
        <v>0</v>
      </c>
      <c r="V369" s="365"/>
      <c r="W369" s="366"/>
      <c r="X369" s="368"/>
      <c r="Y369" s="367"/>
      <c r="Z369" s="360"/>
      <c r="AA369" s="365"/>
      <c r="AB369" s="365"/>
      <c r="AC369" s="366"/>
      <c r="AD369" s="366"/>
      <c r="AE369" s="369"/>
      <c r="AF369" s="360"/>
      <c r="AG369" s="366"/>
    </row>
    <row r="370" spans="1:33" ht="15">
      <c r="A370" s="465" t="s">
        <v>82</v>
      </c>
      <c r="B370" s="466" t="s">
        <v>634</v>
      </c>
      <c r="C370" s="476" t="s">
        <v>665</v>
      </c>
      <c r="D370" s="465">
        <v>220057</v>
      </c>
      <c r="E370" s="464">
        <v>9</v>
      </c>
      <c r="F370" s="571">
        <f t="shared" si="23"/>
        <v>72924</v>
      </c>
      <c r="G370" s="555">
        <f t="shared" si="24"/>
        <v>71139</v>
      </c>
      <c r="H370" s="365">
        <v>47414</v>
      </c>
      <c r="I370" s="468">
        <v>26289</v>
      </c>
      <c r="J370" s="469">
        <v>8655</v>
      </c>
      <c r="K370" s="468">
        <v>28464</v>
      </c>
      <c r="L370" s="360">
        <v>7543</v>
      </c>
      <c r="M370" s="365">
        <v>961</v>
      </c>
      <c r="N370" s="365">
        <v>8061</v>
      </c>
      <c r="O370" s="524">
        <v>9731</v>
      </c>
      <c r="P370" s="524">
        <v>2514</v>
      </c>
      <c r="Q370" s="525">
        <v>3796</v>
      </c>
      <c r="R370" s="360">
        <v>290</v>
      </c>
      <c r="S370" s="367">
        <v>345</v>
      </c>
      <c r="T370" s="573">
        <f t="shared" si="25"/>
        <v>0</v>
      </c>
      <c r="U370" s="574">
        <f t="shared" si="26"/>
        <v>0</v>
      </c>
      <c r="V370" s="365"/>
      <c r="W370" s="366"/>
      <c r="X370" s="368"/>
      <c r="Y370" s="367"/>
      <c r="Z370" s="360"/>
      <c r="AA370" s="365"/>
      <c r="AB370" s="365"/>
      <c r="AC370" s="366"/>
      <c r="AD370" s="366"/>
      <c r="AE370" s="369"/>
      <c r="AF370" s="360"/>
      <c r="AG370" s="366"/>
    </row>
    <row r="371" spans="1:33" ht="15">
      <c r="A371" s="465" t="s">
        <v>82</v>
      </c>
      <c r="B371" s="466" t="s">
        <v>627</v>
      </c>
      <c r="C371" s="467"/>
      <c r="D371" s="465">
        <v>220400</v>
      </c>
      <c r="E371" s="444">
        <v>9</v>
      </c>
      <c r="F371" s="571">
        <f t="shared" si="23"/>
        <v>109536</v>
      </c>
      <c r="G371" s="555">
        <f t="shared" si="24"/>
        <v>104120</v>
      </c>
      <c r="H371" s="365">
        <v>62450</v>
      </c>
      <c r="I371" s="468">
        <v>50431</v>
      </c>
      <c r="J371" s="469">
        <v>1232</v>
      </c>
      <c r="K371" s="468">
        <v>10511</v>
      </c>
      <c r="L371" s="360">
        <v>28762</v>
      </c>
      <c r="M371" s="365">
        <v>4114</v>
      </c>
      <c r="N371" s="365">
        <v>12771</v>
      </c>
      <c r="O371" s="524">
        <v>26776</v>
      </c>
      <c r="P371" s="524">
        <v>4026</v>
      </c>
      <c r="Q371" s="525">
        <v>12219</v>
      </c>
      <c r="R371" s="360">
        <v>207</v>
      </c>
      <c r="S371" s="367">
        <v>157</v>
      </c>
      <c r="T371" s="573">
        <f t="shared" si="25"/>
        <v>0</v>
      </c>
      <c r="U371" s="574">
        <f t="shared" si="26"/>
        <v>0</v>
      </c>
      <c r="V371" s="365"/>
      <c r="W371" s="366"/>
      <c r="X371" s="368"/>
      <c r="Y371" s="367"/>
      <c r="Z371" s="360"/>
      <c r="AA371" s="365"/>
      <c r="AB371" s="365"/>
      <c r="AC371" s="366"/>
      <c r="AD371" s="366"/>
      <c r="AE371" s="369"/>
      <c r="AF371" s="360"/>
      <c r="AG371" s="366"/>
    </row>
    <row r="372" spans="1:33" ht="15">
      <c r="A372" s="465" t="s">
        <v>82</v>
      </c>
      <c r="B372" s="466" t="s">
        <v>628</v>
      </c>
      <c r="C372" s="467"/>
      <c r="D372" s="465">
        <v>221096</v>
      </c>
      <c r="E372" s="444">
        <v>9</v>
      </c>
      <c r="F372" s="571">
        <f t="shared" si="23"/>
        <v>105975</v>
      </c>
      <c r="G372" s="555">
        <f t="shared" si="24"/>
        <v>99616</v>
      </c>
      <c r="H372" s="589">
        <v>31854</v>
      </c>
      <c r="I372" s="468">
        <v>29535</v>
      </c>
      <c r="J372" s="589">
        <v>53563</v>
      </c>
      <c r="K372" s="468">
        <v>49512</v>
      </c>
      <c r="L372" s="360">
        <v>14923</v>
      </c>
      <c r="M372" s="365">
        <v>5478</v>
      </c>
      <c r="N372" s="365">
        <v>0</v>
      </c>
      <c r="O372" s="524">
        <v>14891</v>
      </c>
      <c r="P372" s="524">
        <v>5380</v>
      </c>
      <c r="Q372" s="525">
        <v>48</v>
      </c>
      <c r="R372" s="360">
        <v>157</v>
      </c>
      <c r="S372" s="367">
        <v>250</v>
      </c>
      <c r="T372" s="573">
        <f t="shared" si="25"/>
        <v>0</v>
      </c>
      <c r="U372" s="574">
        <f t="shared" si="26"/>
        <v>0</v>
      </c>
      <c r="V372" s="365"/>
      <c r="W372" s="366"/>
      <c r="X372" s="368"/>
      <c r="Y372" s="367"/>
      <c r="Z372" s="360"/>
      <c r="AA372" s="365"/>
      <c r="AB372" s="365"/>
      <c r="AC372" s="366"/>
      <c r="AD372" s="366"/>
      <c r="AE372" s="369"/>
      <c r="AF372" s="360"/>
      <c r="AG372" s="366"/>
    </row>
    <row r="373" spans="1:33" ht="15">
      <c r="A373" s="465" t="s">
        <v>82</v>
      </c>
      <c r="B373" s="466" t="s">
        <v>630</v>
      </c>
      <c r="C373" s="467"/>
      <c r="D373" s="465">
        <v>221908</v>
      </c>
      <c r="E373" s="444">
        <v>9</v>
      </c>
      <c r="F373" s="571">
        <f t="shared" si="23"/>
        <v>141525</v>
      </c>
      <c r="G373" s="555">
        <f t="shared" si="24"/>
        <v>142268</v>
      </c>
      <c r="H373" s="365">
        <v>108718</v>
      </c>
      <c r="I373" s="468">
        <v>88386</v>
      </c>
      <c r="J373" s="469">
        <v>9828</v>
      </c>
      <c r="K373" s="468">
        <v>31025</v>
      </c>
      <c r="L373" s="360">
        <v>7172</v>
      </c>
      <c r="M373" s="365">
        <v>3606</v>
      </c>
      <c r="N373" s="365">
        <v>12137</v>
      </c>
      <c r="O373" s="524">
        <v>8778</v>
      </c>
      <c r="P373" s="524">
        <v>3610</v>
      </c>
      <c r="Q373" s="525">
        <v>10433</v>
      </c>
      <c r="R373" s="360">
        <v>64</v>
      </c>
      <c r="S373" s="367">
        <v>36</v>
      </c>
      <c r="T373" s="573">
        <f t="shared" si="25"/>
        <v>0</v>
      </c>
      <c r="U373" s="574">
        <f t="shared" si="26"/>
        <v>0</v>
      </c>
      <c r="V373" s="365"/>
      <c r="W373" s="366"/>
      <c r="X373" s="368"/>
      <c r="Y373" s="367"/>
      <c r="Z373" s="360"/>
      <c r="AA373" s="365"/>
      <c r="AB373" s="365"/>
      <c r="AC373" s="366"/>
      <c r="AD373" s="366"/>
      <c r="AE373" s="369"/>
      <c r="AF373" s="360"/>
      <c r="AG373" s="366"/>
    </row>
    <row r="374" spans="1:33" ht="15">
      <c r="A374" s="465" t="s">
        <v>82</v>
      </c>
      <c r="B374" s="466" t="s">
        <v>631</v>
      </c>
      <c r="C374" s="467"/>
      <c r="D374" s="465">
        <v>221397</v>
      </c>
      <c r="E374" s="444">
        <v>9</v>
      </c>
      <c r="F374" s="571">
        <f t="shared" si="23"/>
        <v>135128</v>
      </c>
      <c r="G374" s="555">
        <f t="shared" si="24"/>
        <v>134423</v>
      </c>
      <c r="H374" s="588">
        <v>23396</v>
      </c>
      <c r="I374" s="468">
        <v>22110</v>
      </c>
      <c r="J374" s="588">
        <v>73521</v>
      </c>
      <c r="K374" s="468">
        <v>71576</v>
      </c>
      <c r="L374" s="360">
        <v>24860</v>
      </c>
      <c r="M374" s="365">
        <v>8852</v>
      </c>
      <c r="N374" s="365">
        <v>4397</v>
      </c>
      <c r="O374" s="524">
        <v>27435</v>
      </c>
      <c r="P374" s="524">
        <v>7929</v>
      </c>
      <c r="Q374" s="525">
        <v>5285</v>
      </c>
      <c r="R374" s="360">
        <v>102</v>
      </c>
      <c r="S374" s="367">
        <v>88</v>
      </c>
      <c r="T374" s="573">
        <f t="shared" si="25"/>
        <v>0</v>
      </c>
      <c r="U374" s="574">
        <f t="shared" si="26"/>
        <v>0</v>
      </c>
      <c r="V374" s="365"/>
      <c r="W374" s="366"/>
      <c r="X374" s="368"/>
      <c r="Y374" s="367"/>
      <c r="Z374" s="360"/>
      <c r="AA374" s="365"/>
      <c r="AB374" s="365"/>
      <c r="AC374" s="366"/>
      <c r="AD374" s="366"/>
      <c r="AE374" s="369"/>
      <c r="AF374" s="360"/>
      <c r="AG374" s="366"/>
    </row>
    <row r="375" spans="1:33" ht="15">
      <c r="A375" s="465" t="s">
        <v>82</v>
      </c>
      <c r="B375" s="466" t="s">
        <v>633</v>
      </c>
      <c r="C375" s="467"/>
      <c r="D375" s="465">
        <v>222062</v>
      </c>
      <c r="E375" s="444">
        <v>9</v>
      </c>
      <c r="F375" s="571">
        <f t="shared" si="23"/>
        <v>147715</v>
      </c>
      <c r="G375" s="555">
        <f t="shared" si="24"/>
        <v>144311</v>
      </c>
      <c r="H375" s="365">
        <v>107742</v>
      </c>
      <c r="I375" s="468">
        <v>65267</v>
      </c>
      <c r="J375" s="469">
        <v>8269</v>
      </c>
      <c r="K375" s="468">
        <v>51290</v>
      </c>
      <c r="L375" s="360">
        <v>16078</v>
      </c>
      <c r="M375" s="365">
        <v>4026</v>
      </c>
      <c r="N375" s="365">
        <v>11586</v>
      </c>
      <c r="O375" s="524">
        <v>15353</v>
      </c>
      <c r="P375" s="524">
        <v>3314</v>
      </c>
      <c r="Q375" s="525">
        <v>9072</v>
      </c>
      <c r="R375" s="360">
        <v>14</v>
      </c>
      <c r="S375" s="367">
        <v>15</v>
      </c>
      <c r="T375" s="573">
        <f t="shared" si="25"/>
        <v>0</v>
      </c>
      <c r="U375" s="574">
        <f t="shared" si="26"/>
        <v>0</v>
      </c>
      <c r="V375" s="365"/>
      <c r="W375" s="366"/>
      <c r="X375" s="368"/>
      <c r="Y375" s="367"/>
      <c r="Z375" s="360"/>
      <c r="AA375" s="365"/>
      <c r="AB375" s="365"/>
      <c r="AC375" s="366"/>
      <c r="AD375" s="366"/>
      <c r="AE375" s="369"/>
      <c r="AF375" s="360"/>
      <c r="AG375" s="366"/>
    </row>
    <row r="376" spans="1:33">
      <c r="A376" s="465" t="s">
        <v>82</v>
      </c>
      <c r="B376" s="466" t="s">
        <v>635</v>
      </c>
      <c r="C376" s="467"/>
      <c r="D376" s="465">
        <v>219596</v>
      </c>
      <c r="E376" s="444">
        <v>13</v>
      </c>
      <c r="F376" s="571">
        <f t="shared" si="23"/>
        <v>0</v>
      </c>
      <c r="G376" s="555">
        <f t="shared" si="24"/>
        <v>0</v>
      </c>
      <c r="H376" s="365"/>
      <c r="I376" s="366"/>
      <c r="J376" s="365"/>
      <c r="K376" s="367"/>
      <c r="L376" s="360"/>
      <c r="M376" s="365"/>
      <c r="N376" s="365"/>
      <c r="O376" s="524"/>
      <c r="P376" s="524"/>
      <c r="Q376" s="525"/>
      <c r="R376" s="360"/>
      <c r="S376" s="367"/>
      <c r="T376" s="573">
        <f t="shared" si="25"/>
        <v>0</v>
      </c>
      <c r="U376" s="574">
        <f t="shared" si="26"/>
        <v>0</v>
      </c>
      <c r="V376" s="365"/>
      <c r="W376" s="366"/>
      <c r="X376" s="368"/>
      <c r="Y376" s="367"/>
      <c r="Z376" s="360"/>
      <c r="AA376" s="365"/>
      <c r="AB376" s="365"/>
      <c r="AC376" s="366"/>
      <c r="AD376" s="366"/>
      <c r="AE376" s="369"/>
      <c r="AF376" s="360"/>
      <c r="AG376" s="366"/>
    </row>
    <row r="377" spans="1:33">
      <c r="A377" s="465" t="s">
        <v>82</v>
      </c>
      <c r="B377" s="466" t="s">
        <v>636</v>
      </c>
      <c r="C377" s="467" t="s">
        <v>664</v>
      </c>
      <c r="D377" s="465" t="s">
        <v>637</v>
      </c>
      <c r="E377" s="444">
        <v>13</v>
      </c>
      <c r="F377" s="571">
        <f t="shared" si="23"/>
        <v>0</v>
      </c>
      <c r="G377" s="555">
        <f t="shared" si="24"/>
        <v>0</v>
      </c>
      <c r="H377" s="365"/>
      <c r="I377" s="366"/>
      <c r="J377" s="365"/>
      <c r="K377" s="367"/>
      <c r="L377" s="360"/>
      <c r="M377" s="365"/>
      <c r="N377" s="365"/>
      <c r="O377" s="524"/>
      <c r="P377" s="524"/>
      <c r="Q377" s="525"/>
      <c r="R377" s="360"/>
      <c r="S377" s="367"/>
      <c r="T377" s="573">
        <f t="shared" si="25"/>
        <v>0</v>
      </c>
      <c r="U377" s="574">
        <f t="shared" si="26"/>
        <v>0</v>
      </c>
      <c r="V377" s="365"/>
      <c r="W377" s="366"/>
      <c r="X377" s="368"/>
      <c r="Y377" s="367"/>
      <c r="Z377" s="360"/>
      <c r="AA377" s="365"/>
      <c r="AB377" s="365"/>
      <c r="AC377" s="366"/>
      <c r="AD377" s="366"/>
      <c r="AE377" s="369"/>
      <c r="AF377" s="360"/>
      <c r="AG377" s="366"/>
    </row>
    <row r="378" spans="1:33">
      <c r="A378" s="465" t="s">
        <v>82</v>
      </c>
      <c r="B378" s="466" t="s">
        <v>638</v>
      </c>
      <c r="C378" s="467"/>
      <c r="D378" s="465">
        <v>219921</v>
      </c>
      <c r="E378" s="444">
        <v>13</v>
      </c>
      <c r="F378" s="571">
        <f t="shared" si="23"/>
        <v>0</v>
      </c>
      <c r="G378" s="555">
        <f t="shared" si="24"/>
        <v>0</v>
      </c>
      <c r="H378" s="365"/>
      <c r="I378" s="366"/>
      <c r="J378" s="365"/>
      <c r="K378" s="367"/>
      <c r="L378" s="360"/>
      <c r="M378" s="365"/>
      <c r="N378" s="365"/>
      <c r="O378" s="524"/>
      <c r="P378" s="524"/>
      <c r="Q378" s="525"/>
      <c r="R378" s="360"/>
      <c r="S378" s="367"/>
      <c r="T378" s="573">
        <f t="shared" si="25"/>
        <v>0</v>
      </c>
      <c r="U378" s="574">
        <f t="shared" si="26"/>
        <v>0</v>
      </c>
      <c r="V378" s="365"/>
      <c r="W378" s="366"/>
      <c r="X378" s="368"/>
      <c r="Y378" s="367"/>
      <c r="Z378" s="360"/>
      <c r="AA378" s="365"/>
      <c r="AB378" s="365"/>
      <c r="AC378" s="366"/>
      <c r="AD378" s="366"/>
      <c r="AE378" s="369"/>
      <c r="AF378" s="360"/>
      <c r="AG378" s="366"/>
    </row>
    <row r="379" spans="1:33">
      <c r="A379" s="465" t="s">
        <v>82</v>
      </c>
      <c r="B379" s="466" t="s">
        <v>639</v>
      </c>
      <c r="C379" s="467"/>
      <c r="D379" s="465">
        <v>221591</v>
      </c>
      <c r="E379" s="444">
        <v>13</v>
      </c>
      <c r="F379" s="571">
        <f t="shared" si="23"/>
        <v>0</v>
      </c>
      <c r="G379" s="555">
        <f t="shared" si="24"/>
        <v>0</v>
      </c>
      <c r="H379" s="365"/>
      <c r="I379" s="366"/>
      <c r="J379" s="365"/>
      <c r="K379" s="367"/>
      <c r="L379" s="360"/>
      <c r="M379" s="365"/>
      <c r="N379" s="365"/>
      <c r="O379" s="524"/>
      <c r="P379" s="524"/>
      <c r="Q379" s="525"/>
      <c r="R379" s="360"/>
      <c r="S379" s="367"/>
      <c r="T379" s="573">
        <f t="shared" si="25"/>
        <v>0</v>
      </c>
      <c r="U379" s="574">
        <f t="shared" si="26"/>
        <v>0</v>
      </c>
      <c r="V379" s="365"/>
      <c r="W379" s="366"/>
      <c r="X379" s="368"/>
      <c r="Y379" s="367"/>
      <c r="Z379" s="360"/>
      <c r="AA379" s="365"/>
      <c r="AB379" s="365"/>
      <c r="AC379" s="366"/>
      <c r="AD379" s="366"/>
      <c r="AE379" s="369"/>
      <c r="AF379" s="360"/>
      <c r="AG379" s="366"/>
    </row>
    <row r="380" spans="1:33">
      <c r="A380" s="465" t="s">
        <v>82</v>
      </c>
      <c r="B380" s="466" t="s">
        <v>640</v>
      </c>
      <c r="C380" s="467"/>
      <c r="D380" s="465">
        <v>221430</v>
      </c>
      <c r="E380" s="444">
        <v>13</v>
      </c>
      <c r="F380" s="571">
        <f t="shared" si="23"/>
        <v>0</v>
      </c>
      <c r="G380" s="555">
        <f t="shared" si="24"/>
        <v>0</v>
      </c>
      <c r="H380" s="365"/>
      <c r="I380" s="366"/>
      <c r="J380" s="365"/>
      <c r="K380" s="367"/>
      <c r="L380" s="360"/>
      <c r="M380" s="365"/>
      <c r="N380" s="365"/>
      <c r="O380" s="524"/>
      <c r="P380" s="524"/>
      <c r="Q380" s="525"/>
      <c r="R380" s="360"/>
      <c r="S380" s="367"/>
      <c r="T380" s="573">
        <f t="shared" si="25"/>
        <v>0</v>
      </c>
      <c r="U380" s="574">
        <f t="shared" si="26"/>
        <v>0</v>
      </c>
      <c r="V380" s="365"/>
      <c r="W380" s="366"/>
      <c r="X380" s="368"/>
      <c r="Y380" s="367"/>
      <c r="Z380" s="360"/>
      <c r="AA380" s="365"/>
      <c r="AB380" s="365"/>
      <c r="AC380" s="366"/>
      <c r="AD380" s="366"/>
      <c r="AE380" s="369"/>
      <c r="AF380" s="360"/>
      <c r="AG380" s="366"/>
    </row>
    <row r="381" spans="1:33">
      <c r="A381" s="465" t="s">
        <v>82</v>
      </c>
      <c r="B381" s="466" t="s">
        <v>641</v>
      </c>
      <c r="C381" s="467"/>
      <c r="D381" s="465">
        <v>219994</v>
      </c>
      <c r="E381" s="444">
        <v>13</v>
      </c>
      <c r="F381" s="571">
        <f t="shared" si="23"/>
        <v>0</v>
      </c>
      <c r="G381" s="555">
        <f t="shared" si="24"/>
        <v>0</v>
      </c>
      <c r="H381" s="365"/>
      <c r="I381" s="366"/>
      <c r="J381" s="365"/>
      <c r="K381" s="367"/>
      <c r="L381" s="360"/>
      <c r="M381" s="365"/>
      <c r="N381" s="365"/>
      <c r="O381" s="524"/>
      <c r="P381" s="524"/>
      <c r="Q381" s="525"/>
      <c r="R381" s="360"/>
      <c r="S381" s="367"/>
      <c r="T381" s="573">
        <f t="shared" si="25"/>
        <v>0</v>
      </c>
      <c r="U381" s="574">
        <f t="shared" si="26"/>
        <v>0</v>
      </c>
      <c r="V381" s="365"/>
      <c r="W381" s="366"/>
      <c r="X381" s="368"/>
      <c r="Y381" s="367"/>
      <c r="Z381" s="360"/>
      <c r="AA381" s="365"/>
      <c r="AB381" s="365"/>
      <c r="AC381" s="366"/>
      <c r="AD381" s="366"/>
      <c r="AE381" s="369"/>
      <c r="AF381" s="360"/>
      <c r="AG381" s="366"/>
    </row>
    <row r="382" spans="1:33">
      <c r="A382" s="465" t="s">
        <v>82</v>
      </c>
      <c r="B382" s="466" t="s">
        <v>642</v>
      </c>
      <c r="C382" s="467"/>
      <c r="D382" s="465">
        <v>220127</v>
      </c>
      <c r="E382" s="444">
        <v>13</v>
      </c>
      <c r="F382" s="571">
        <f t="shared" si="23"/>
        <v>0</v>
      </c>
      <c r="G382" s="555">
        <f t="shared" si="24"/>
        <v>0</v>
      </c>
      <c r="H382" s="365"/>
      <c r="I382" s="366"/>
      <c r="J382" s="365"/>
      <c r="K382" s="367"/>
      <c r="L382" s="360"/>
      <c r="M382" s="365"/>
      <c r="N382" s="365"/>
      <c r="O382" s="524"/>
      <c r="P382" s="524"/>
      <c r="Q382" s="525"/>
      <c r="R382" s="360"/>
      <c r="S382" s="367"/>
      <c r="T382" s="573">
        <f t="shared" si="25"/>
        <v>0</v>
      </c>
      <c r="U382" s="574">
        <f t="shared" si="26"/>
        <v>0</v>
      </c>
      <c r="V382" s="365"/>
      <c r="W382" s="366"/>
      <c r="X382" s="368"/>
      <c r="Y382" s="367"/>
      <c r="Z382" s="360"/>
      <c r="AA382" s="365"/>
      <c r="AB382" s="365"/>
      <c r="AC382" s="366"/>
      <c r="AD382" s="366"/>
      <c r="AE382" s="369"/>
      <c r="AF382" s="360"/>
      <c r="AG382" s="366"/>
    </row>
    <row r="383" spans="1:33">
      <c r="A383" s="465" t="s">
        <v>82</v>
      </c>
      <c r="B383" s="466" t="s">
        <v>643</v>
      </c>
      <c r="C383" s="467"/>
      <c r="D383" s="465">
        <v>220251</v>
      </c>
      <c r="E383" s="444">
        <v>13</v>
      </c>
      <c r="F383" s="571">
        <f t="shared" si="23"/>
        <v>0</v>
      </c>
      <c r="G383" s="555">
        <f t="shared" si="24"/>
        <v>0</v>
      </c>
      <c r="H383" s="365"/>
      <c r="I383" s="366"/>
      <c r="J383" s="365"/>
      <c r="K383" s="367"/>
      <c r="L383" s="360"/>
      <c r="M383" s="365"/>
      <c r="N383" s="365"/>
      <c r="O383" s="524"/>
      <c r="P383" s="524"/>
      <c r="Q383" s="525"/>
      <c r="R383" s="360"/>
      <c r="S383" s="367"/>
      <c r="T383" s="573">
        <f t="shared" si="25"/>
        <v>0</v>
      </c>
      <c r="U383" s="574">
        <f t="shared" si="26"/>
        <v>0</v>
      </c>
      <c r="V383" s="365"/>
      <c r="W383" s="366"/>
      <c r="X383" s="368"/>
      <c r="Y383" s="367"/>
      <c r="Z383" s="360"/>
      <c r="AA383" s="365"/>
      <c r="AB383" s="365"/>
      <c r="AC383" s="366"/>
      <c r="AD383" s="366"/>
      <c r="AE383" s="369"/>
      <c r="AF383" s="360"/>
      <c r="AG383" s="366"/>
    </row>
    <row r="384" spans="1:33">
      <c r="A384" s="465" t="s">
        <v>82</v>
      </c>
      <c r="B384" s="466" t="s">
        <v>644</v>
      </c>
      <c r="C384" s="467"/>
      <c r="D384" s="465">
        <v>220279</v>
      </c>
      <c r="E384" s="444">
        <v>13</v>
      </c>
      <c r="F384" s="571">
        <f t="shared" si="23"/>
        <v>0</v>
      </c>
      <c r="G384" s="555">
        <f t="shared" si="24"/>
        <v>0</v>
      </c>
      <c r="H384" s="365"/>
      <c r="I384" s="366"/>
      <c r="J384" s="365"/>
      <c r="K384" s="367"/>
      <c r="L384" s="360"/>
      <c r="M384" s="365"/>
      <c r="N384" s="365"/>
      <c r="O384" s="524"/>
      <c r="P384" s="524"/>
      <c r="Q384" s="525"/>
      <c r="R384" s="360"/>
      <c r="S384" s="367"/>
      <c r="T384" s="573">
        <f t="shared" si="25"/>
        <v>0</v>
      </c>
      <c r="U384" s="574">
        <f t="shared" si="26"/>
        <v>0</v>
      </c>
      <c r="V384" s="365"/>
      <c r="W384" s="366"/>
      <c r="X384" s="368"/>
      <c r="Y384" s="367"/>
      <c r="Z384" s="360"/>
      <c r="AA384" s="365"/>
      <c r="AB384" s="365"/>
      <c r="AC384" s="366"/>
      <c r="AD384" s="366"/>
      <c r="AE384" s="369"/>
      <c r="AF384" s="360"/>
      <c r="AG384" s="366"/>
    </row>
    <row r="385" spans="1:33">
      <c r="A385" s="465" t="s">
        <v>82</v>
      </c>
      <c r="B385" s="466" t="s">
        <v>645</v>
      </c>
      <c r="C385" s="467"/>
      <c r="D385" s="465">
        <v>220321</v>
      </c>
      <c r="E385" s="444">
        <v>13</v>
      </c>
      <c r="F385" s="571">
        <f t="shared" si="23"/>
        <v>0</v>
      </c>
      <c r="G385" s="555">
        <f t="shared" si="24"/>
        <v>0</v>
      </c>
      <c r="H385" s="365"/>
      <c r="I385" s="366"/>
      <c r="J385" s="365"/>
      <c r="K385" s="367"/>
      <c r="L385" s="360"/>
      <c r="M385" s="365"/>
      <c r="N385" s="365"/>
      <c r="O385" s="524"/>
      <c r="P385" s="524"/>
      <c r="Q385" s="525"/>
      <c r="R385" s="360"/>
      <c r="S385" s="367"/>
      <c r="T385" s="573">
        <f t="shared" si="25"/>
        <v>0</v>
      </c>
      <c r="U385" s="574">
        <f t="shared" si="26"/>
        <v>0</v>
      </c>
      <c r="V385" s="365"/>
      <c r="W385" s="366"/>
      <c r="X385" s="368"/>
      <c r="Y385" s="367"/>
      <c r="Z385" s="360"/>
      <c r="AA385" s="365"/>
      <c r="AB385" s="365"/>
      <c r="AC385" s="366"/>
      <c r="AD385" s="366"/>
      <c r="AE385" s="369"/>
      <c r="AF385" s="360"/>
      <c r="AG385" s="366"/>
    </row>
    <row r="386" spans="1:33">
      <c r="A386" s="465" t="s">
        <v>82</v>
      </c>
      <c r="B386" s="466" t="s">
        <v>646</v>
      </c>
      <c r="C386" s="467"/>
      <c r="D386" s="465">
        <v>220394</v>
      </c>
      <c r="E386" s="444">
        <v>13</v>
      </c>
      <c r="F386" s="571">
        <f t="shared" si="23"/>
        <v>0</v>
      </c>
      <c r="G386" s="555">
        <f t="shared" si="24"/>
        <v>0</v>
      </c>
      <c r="H386" s="365"/>
      <c r="I386" s="366"/>
      <c r="J386" s="365"/>
      <c r="K386" s="367"/>
      <c r="L386" s="360"/>
      <c r="M386" s="365"/>
      <c r="N386" s="365"/>
      <c r="O386" s="524"/>
      <c r="P386" s="524"/>
      <c r="Q386" s="525"/>
      <c r="R386" s="360"/>
      <c r="S386" s="367"/>
      <c r="T386" s="573">
        <f t="shared" si="25"/>
        <v>0</v>
      </c>
      <c r="U386" s="574">
        <f t="shared" si="26"/>
        <v>0</v>
      </c>
      <c r="V386" s="365"/>
      <c r="W386" s="366"/>
      <c r="X386" s="368"/>
      <c r="Y386" s="367"/>
      <c r="Z386" s="360"/>
      <c r="AA386" s="365"/>
      <c r="AB386" s="365"/>
      <c r="AC386" s="366"/>
      <c r="AD386" s="366"/>
      <c r="AE386" s="369"/>
      <c r="AF386" s="360"/>
      <c r="AG386" s="366"/>
    </row>
    <row r="387" spans="1:33">
      <c r="A387" s="465" t="s">
        <v>82</v>
      </c>
      <c r="B387" s="466" t="s">
        <v>647</v>
      </c>
      <c r="C387" s="467"/>
      <c r="D387" s="465">
        <v>221616</v>
      </c>
      <c r="E387" s="444">
        <v>13</v>
      </c>
      <c r="F387" s="571">
        <f t="shared" si="23"/>
        <v>0</v>
      </c>
      <c r="G387" s="555">
        <f t="shared" si="24"/>
        <v>0</v>
      </c>
      <c r="H387" s="365"/>
      <c r="I387" s="366"/>
      <c r="J387" s="365"/>
      <c r="K387" s="367"/>
      <c r="L387" s="360"/>
      <c r="M387" s="365"/>
      <c r="N387" s="365"/>
      <c r="O387" s="524"/>
      <c r="P387" s="524"/>
      <c r="Q387" s="525"/>
      <c r="R387" s="360"/>
      <c r="S387" s="367"/>
      <c r="T387" s="573">
        <f t="shared" si="25"/>
        <v>0</v>
      </c>
      <c r="U387" s="574">
        <f t="shared" si="26"/>
        <v>0</v>
      </c>
      <c r="V387" s="365"/>
      <c r="W387" s="366"/>
      <c r="X387" s="368"/>
      <c r="Y387" s="367"/>
      <c r="Z387" s="360"/>
      <c r="AA387" s="365"/>
      <c r="AB387" s="365"/>
      <c r="AC387" s="366"/>
      <c r="AD387" s="366"/>
      <c r="AE387" s="369"/>
      <c r="AF387" s="360"/>
      <c r="AG387" s="366"/>
    </row>
    <row r="388" spans="1:33">
      <c r="A388" s="465" t="s">
        <v>82</v>
      </c>
      <c r="B388" s="466" t="s">
        <v>648</v>
      </c>
      <c r="C388" s="467"/>
      <c r="D388" s="465">
        <v>221625</v>
      </c>
      <c r="E388" s="444">
        <v>13</v>
      </c>
      <c r="F388" s="571">
        <f t="shared" si="23"/>
        <v>0</v>
      </c>
      <c r="G388" s="555">
        <f t="shared" si="24"/>
        <v>0</v>
      </c>
      <c r="H388" s="365"/>
      <c r="I388" s="366"/>
      <c r="J388" s="365"/>
      <c r="K388" s="367"/>
      <c r="L388" s="360"/>
      <c r="M388" s="365"/>
      <c r="N388" s="365"/>
      <c r="O388" s="524"/>
      <c r="P388" s="524"/>
      <c r="Q388" s="525"/>
      <c r="R388" s="360"/>
      <c r="S388" s="367"/>
      <c r="T388" s="573">
        <f t="shared" si="25"/>
        <v>0</v>
      </c>
      <c r="U388" s="574">
        <f t="shared" si="26"/>
        <v>0</v>
      </c>
      <c r="V388" s="365"/>
      <c r="W388" s="366"/>
      <c r="X388" s="368"/>
      <c r="Y388" s="367"/>
      <c r="Z388" s="360"/>
      <c r="AA388" s="365"/>
      <c r="AB388" s="365"/>
      <c r="AC388" s="366"/>
      <c r="AD388" s="366"/>
      <c r="AE388" s="369"/>
      <c r="AF388" s="360"/>
      <c r="AG388" s="366"/>
    </row>
    <row r="389" spans="1:33">
      <c r="A389" s="465" t="s">
        <v>82</v>
      </c>
      <c r="B389" s="466" t="s">
        <v>649</v>
      </c>
      <c r="C389" s="467"/>
      <c r="D389" s="465">
        <v>220640</v>
      </c>
      <c r="E389" s="444">
        <v>13</v>
      </c>
      <c r="F389" s="571">
        <f t="shared" si="23"/>
        <v>0</v>
      </c>
      <c r="G389" s="555">
        <f t="shared" si="24"/>
        <v>0</v>
      </c>
      <c r="H389" s="365"/>
      <c r="I389" s="366"/>
      <c r="J389" s="365"/>
      <c r="K389" s="367"/>
      <c r="L389" s="360"/>
      <c r="M389" s="365"/>
      <c r="N389" s="365"/>
      <c r="O389" s="524"/>
      <c r="P389" s="524"/>
      <c r="Q389" s="525"/>
      <c r="R389" s="360"/>
      <c r="S389" s="367"/>
      <c r="T389" s="573">
        <f t="shared" si="25"/>
        <v>0</v>
      </c>
      <c r="U389" s="574">
        <f t="shared" si="26"/>
        <v>0</v>
      </c>
      <c r="V389" s="365"/>
      <c r="W389" s="366"/>
      <c r="X389" s="368"/>
      <c r="Y389" s="367"/>
      <c r="Z389" s="360"/>
      <c r="AA389" s="365"/>
      <c r="AB389" s="365"/>
      <c r="AC389" s="366"/>
      <c r="AD389" s="366"/>
      <c r="AE389" s="369"/>
      <c r="AF389" s="360"/>
      <c r="AG389" s="366"/>
    </row>
    <row r="390" spans="1:33">
      <c r="A390" s="465" t="s">
        <v>82</v>
      </c>
      <c r="B390" s="466" t="s">
        <v>650</v>
      </c>
      <c r="C390" s="467"/>
      <c r="D390" s="465">
        <v>220756</v>
      </c>
      <c r="E390" s="444">
        <v>13</v>
      </c>
      <c r="F390" s="571">
        <f t="shared" si="23"/>
        <v>0</v>
      </c>
      <c r="G390" s="555">
        <f t="shared" si="24"/>
        <v>0</v>
      </c>
      <c r="H390" s="365"/>
      <c r="I390" s="366"/>
      <c r="J390" s="365"/>
      <c r="K390" s="367"/>
      <c r="L390" s="360"/>
      <c r="M390" s="365"/>
      <c r="N390" s="365"/>
      <c r="O390" s="524"/>
      <c r="P390" s="524"/>
      <c r="Q390" s="525"/>
      <c r="R390" s="360"/>
      <c r="S390" s="367"/>
      <c r="T390" s="573">
        <f t="shared" si="25"/>
        <v>0</v>
      </c>
      <c r="U390" s="574">
        <f t="shared" si="26"/>
        <v>0</v>
      </c>
      <c r="V390" s="365"/>
      <c r="W390" s="366"/>
      <c r="X390" s="368"/>
      <c r="Y390" s="367"/>
      <c r="Z390" s="360"/>
      <c r="AA390" s="365"/>
      <c r="AB390" s="365"/>
      <c r="AC390" s="366"/>
      <c r="AD390" s="366"/>
      <c r="AE390" s="369"/>
      <c r="AF390" s="360"/>
      <c r="AG390" s="366"/>
    </row>
    <row r="391" spans="1:33">
      <c r="A391" s="465" t="s">
        <v>82</v>
      </c>
      <c r="B391" s="466" t="s">
        <v>651</v>
      </c>
      <c r="C391" s="467"/>
      <c r="D391" s="465">
        <v>221607</v>
      </c>
      <c r="E391" s="444">
        <v>13</v>
      </c>
      <c r="F391" s="571">
        <f t="shared" si="23"/>
        <v>0</v>
      </c>
      <c r="G391" s="555">
        <f t="shared" si="24"/>
        <v>0</v>
      </c>
      <c r="H391" s="365"/>
      <c r="I391" s="366"/>
      <c r="J391" s="365"/>
      <c r="K391" s="367"/>
      <c r="L391" s="360"/>
      <c r="M391" s="365"/>
      <c r="N391" s="365"/>
      <c r="O391" s="366"/>
      <c r="P391" s="366"/>
      <c r="Q391" s="367"/>
      <c r="R391" s="360"/>
      <c r="S391" s="367"/>
      <c r="T391" s="573">
        <f t="shared" si="25"/>
        <v>0</v>
      </c>
      <c r="U391" s="574">
        <f t="shared" si="26"/>
        <v>0</v>
      </c>
      <c r="V391" s="365"/>
      <c r="W391" s="366"/>
      <c r="X391" s="368"/>
      <c r="Y391" s="367"/>
      <c r="Z391" s="360"/>
      <c r="AA391" s="365"/>
      <c r="AB391" s="365"/>
      <c r="AC391" s="366"/>
      <c r="AD391" s="366"/>
      <c r="AE391" s="369"/>
      <c r="AF391" s="360"/>
      <c r="AG391" s="366"/>
    </row>
    <row r="392" spans="1:33">
      <c r="A392" s="465" t="s">
        <v>82</v>
      </c>
      <c r="B392" s="466" t="s">
        <v>652</v>
      </c>
      <c r="C392" s="467" t="s">
        <v>663</v>
      </c>
      <c r="D392" s="465">
        <v>220853</v>
      </c>
      <c r="E392" s="444">
        <v>13</v>
      </c>
      <c r="F392" s="571">
        <f t="shared" ref="F392:F455" si="27">SUM(H392,J392,L392,M392,N392,R392)</f>
        <v>0</v>
      </c>
      <c r="G392" s="555">
        <f t="shared" ref="G392:G455" si="28">SUM(I392,K392,O392,P392,Q392,S392)</f>
        <v>0</v>
      </c>
      <c r="H392" s="365"/>
      <c r="I392" s="366"/>
      <c r="J392" s="365"/>
      <c r="K392" s="367"/>
      <c r="L392" s="360"/>
      <c r="M392" s="365"/>
      <c r="N392" s="365"/>
      <c r="O392" s="366"/>
      <c r="P392" s="366"/>
      <c r="Q392" s="367"/>
      <c r="R392" s="360"/>
      <c r="S392" s="367"/>
      <c r="T392" s="573">
        <f t="shared" ref="T392:T455" si="29">SUM(V392,X392,Z392,AA392,AB392,AF392)</f>
        <v>0</v>
      </c>
      <c r="U392" s="574">
        <f t="shared" ref="U392:U455" si="30">SUM(W392,Y392,AC392,AD392,AE392,AG392)</f>
        <v>0</v>
      </c>
      <c r="V392" s="365"/>
      <c r="W392" s="366"/>
      <c r="X392" s="368"/>
      <c r="Y392" s="367"/>
      <c r="Z392" s="360"/>
      <c r="AA392" s="365"/>
      <c r="AB392" s="365"/>
      <c r="AC392" s="366"/>
      <c r="AD392" s="366"/>
      <c r="AE392" s="369"/>
      <c r="AF392" s="360"/>
      <c r="AG392" s="366"/>
    </row>
    <row r="393" spans="1:33">
      <c r="A393" s="465" t="s">
        <v>82</v>
      </c>
      <c r="B393" s="466" t="s">
        <v>653</v>
      </c>
      <c r="C393" s="467"/>
      <c r="D393" s="465">
        <v>221050</v>
      </c>
      <c r="E393" s="444">
        <v>13</v>
      </c>
      <c r="F393" s="571">
        <f t="shared" si="27"/>
        <v>0</v>
      </c>
      <c r="G393" s="555">
        <f t="shared" si="28"/>
        <v>0</v>
      </c>
      <c r="H393" s="365"/>
      <c r="I393" s="366"/>
      <c r="J393" s="365"/>
      <c r="K393" s="367"/>
      <c r="L393" s="360"/>
      <c r="M393" s="365"/>
      <c r="N393" s="365"/>
      <c r="O393" s="366"/>
      <c r="P393" s="366"/>
      <c r="Q393" s="367"/>
      <c r="R393" s="360"/>
      <c r="S393" s="367"/>
      <c r="T393" s="573">
        <f t="shared" si="29"/>
        <v>0</v>
      </c>
      <c r="U393" s="574">
        <f t="shared" si="30"/>
        <v>0</v>
      </c>
      <c r="V393" s="365"/>
      <c r="W393" s="366"/>
      <c r="X393" s="368"/>
      <c r="Y393" s="367"/>
      <c r="Z393" s="360"/>
      <c r="AA393" s="365"/>
      <c r="AB393" s="365"/>
      <c r="AC393" s="366"/>
      <c r="AD393" s="366"/>
      <c r="AE393" s="369"/>
      <c r="AF393" s="360"/>
      <c r="AG393" s="366"/>
    </row>
    <row r="394" spans="1:33">
      <c r="A394" s="465" t="s">
        <v>82</v>
      </c>
      <c r="B394" s="466" t="s">
        <v>654</v>
      </c>
      <c r="C394" s="467"/>
      <c r="D394" s="465">
        <v>221102</v>
      </c>
      <c r="E394" s="444">
        <v>13</v>
      </c>
      <c r="F394" s="571">
        <f t="shared" si="27"/>
        <v>0</v>
      </c>
      <c r="G394" s="555">
        <f t="shared" si="28"/>
        <v>0</v>
      </c>
      <c r="H394" s="365"/>
      <c r="I394" s="366"/>
      <c r="J394" s="365"/>
      <c r="K394" s="367"/>
      <c r="L394" s="360"/>
      <c r="M394" s="365"/>
      <c r="N394" s="365"/>
      <c r="O394" s="366"/>
      <c r="P394" s="366"/>
      <c r="Q394" s="367"/>
      <c r="R394" s="360"/>
      <c r="S394" s="367"/>
      <c r="T394" s="573">
        <f t="shared" si="29"/>
        <v>0</v>
      </c>
      <c r="U394" s="574">
        <f t="shared" si="30"/>
        <v>0</v>
      </c>
      <c r="V394" s="365"/>
      <c r="W394" s="366"/>
      <c r="X394" s="368"/>
      <c r="Y394" s="367"/>
      <c r="Z394" s="360"/>
      <c r="AA394" s="365"/>
      <c r="AB394" s="365"/>
      <c r="AC394" s="366"/>
      <c r="AD394" s="366"/>
      <c r="AE394" s="369"/>
      <c r="AF394" s="360"/>
      <c r="AG394" s="366"/>
    </row>
    <row r="395" spans="1:33">
      <c r="A395" s="465" t="s">
        <v>82</v>
      </c>
      <c r="B395" s="466" t="s">
        <v>655</v>
      </c>
      <c r="C395" s="467" t="s">
        <v>663</v>
      </c>
      <c r="D395" s="465">
        <v>248925</v>
      </c>
      <c r="E395" s="444">
        <v>13</v>
      </c>
      <c r="F395" s="571">
        <f t="shared" si="27"/>
        <v>0</v>
      </c>
      <c r="G395" s="555">
        <f t="shared" si="28"/>
        <v>0</v>
      </c>
      <c r="H395" s="365"/>
      <c r="I395" s="366"/>
      <c r="J395" s="365"/>
      <c r="K395" s="367"/>
      <c r="L395" s="360"/>
      <c r="M395" s="365"/>
      <c r="N395" s="365"/>
      <c r="O395" s="366"/>
      <c r="P395" s="366"/>
      <c r="Q395" s="367"/>
      <c r="R395" s="360"/>
      <c r="S395" s="367"/>
      <c r="T395" s="573">
        <f t="shared" si="29"/>
        <v>0</v>
      </c>
      <c r="U395" s="574">
        <f t="shared" si="30"/>
        <v>0</v>
      </c>
      <c r="V395" s="365"/>
      <c r="W395" s="366"/>
      <c r="X395" s="368"/>
      <c r="Y395" s="367"/>
      <c r="Z395" s="360"/>
      <c r="AA395" s="365"/>
      <c r="AB395" s="365"/>
      <c r="AC395" s="366"/>
      <c r="AD395" s="366"/>
      <c r="AE395" s="369"/>
      <c r="AF395" s="360"/>
      <c r="AG395" s="366"/>
    </row>
    <row r="396" spans="1:33">
      <c r="A396" s="465" t="s">
        <v>82</v>
      </c>
      <c r="B396" s="466" t="s">
        <v>656</v>
      </c>
      <c r="C396" s="467"/>
      <c r="D396" s="465">
        <v>221236</v>
      </c>
      <c r="E396" s="444">
        <v>13</v>
      </c>
      <c r="F396" s="571">
        <f t="shared" si="27"/>
        <v>0</v>
      </c>
      <c r="G396" s="555">
        <f t="shared" si="28"/>
        <v>0</v>
      </c>
      <c r="H396" s="365"/>
      <c r="I396" s="366"/>
      <c r="J396" s="365"/>
      <c r="K396" s="367"/>
      <c r="L396" s="360"/>
      <c r="M396" s="365"/>
      <c r="N396" s="365"/>
      <c r="O396" s="366"/>
      <c r="P396" s="366"/>
      <c r="Q396" s="367"/>
      <c r="R396" s="360"/>
      <c r="S396" s="367"/>
      <c r="T396" s="573">
        <f t="shared" si="29"/>
        <v>0</v>
      </c>
      <c r="U396" s="574">
        <f t="shared" si="30"/>
        <v>0</v>
      </c>
      <c r="V396" s="365"/>
      <c r="W396" s="366"/>
      <c r="X396" s="368"/>
      <c r="Y396" s="367"/>
      <c r="Z396" s="360"/>
      <c r="AA396" s="365"/>
      <c r="AB396" s="365"/>
      <c r="AC396" s="366"/>
      <c r="AD396" s="366"/>
      <c r="AE396" s="369"/>
      <c r="AF396" s="360"/>
      <c r="AG396" s="366"/>
    </row>
    <row r="397" spans="1:33">
      <c r="A397" s="465" t="s">
        <v>82</v>
      </c>
      <c r="B397" s="466" t="s">
        <v>657</v>
      </c>
      <c r="C397" s="467"/>
      <c r="D397" s="465">
        <v>221582</v>
      </c>
      <c r="E397" s="444">
        <v>13</v>
      </c>
      <c r="F397" s="571">
        <f t="shared" si="27"/>
        <v>0</v>
      </c>
      <c r="G397" s="555">
        <f t="shared" si="28"/>
        <v>0</v>
      </c>
      <c r="H397" s="365"/>
      <c r="I397" s="366"/>
      <c r="J397" s="365"/>
      <c r="K397" s="367"/>
      <c r="L397" s="360"/>
      <c r="M397" s="365"/>
      <c r="N397" s="365"/>
      <c r="O397" s="366"/>
      <c r="P397" s="366"/>
      <c r="Q397" s="367"/>
      <c r="R397" s="360"/>
      <c r="S397" s="367"/>
      <c r="T397" s="573">
        <f t="shared" si="29"/>
        <v>0</v>
      </c>
      <c r="U397" s="574">
        <f t="shared" si="30"/>
        <v>0</v>
      </c>
      <c r="V397" s="365"/>
      <c r="W397" s="366"/>
      <c r="X397" s="368"/>
      <c r="Y397" s="367"/>
      <c r="Z397" s="360"/>
      <c r="AA397" s="365"/>
      <c r="AB397" s="365"/>
      <c r="AC397" s="366"/>
      <c r="AD397" s="366"/>
      <c r="AE397" s="369"/>
      <c r="AF397" s="360"/>
      <c r="AG397" s="366"/>
    </row>
    <row r="398" spans="1:33">
      <c r="A398" s="465" t="s">
        <v>82</v>
      </c>
      <c r="B398" s="466" t="s">
        <v>658</v>
      </c>
      <c r="C398" s="467"/>
      <c r="D398" s="465">
        <v>221281</v>
      </c>
      <c r="E398" s="444">
        <v>13</v>
      </c>
      <c r="F398" s="571">
        <f t="shared" si="27"/>
        <v>0</v>
      </c>
      <c r="G398" s="555">
        <f t="shared" si="28"/>
        <v>0</v>
      </c>
      <c r="H398" s="365"/>
      <c r="I398" s="366"/>
      <c r="J398" s="365"/>
      <c r="K398" s="367"/>
      <c r="L398" s="360"/>
      <c r="M398" s="365"/>
      <c r="N398" s="365"/>
      <c r="O398" s="366"/>
      <c r="P398" s="366"/>
      <c r="Q398" s="367"/>
      <c r="R398" s="360"/>
      <c r="S398" s="367"/>
      <c r="T398" s="573">
        <f t="shared" si="29"/>
        <v>0</v>
      </c>
      <c r="U398" s="574">
        <f t="shared" si="30"/>
        <v>0</v>
      </c>
      <c r="V398" s="365"/>
      <c r="W398" s="366"/>
      <c r="X398" s="368"/>
      <c r="Y398" s="367"/>
      <c r="Z398" s="360"/>
      <c r="AA398" s="365"/>
      <c r="AB398" s="365"/>
      <c r="AC398" s="366"/>
      <c r="AD398" s="366"/>
      <c r="AE398" s="369"/>
      <c r="AF398" s="360"/>
      <c r="AG398" s="366"/>
    </row>
    <row r="399" spans="1:33">
      <c r="A399" s="465" t="s">
        <v>82</v>
      </c>
      <c r="B399" s="466" t="s">
        <v>659</v>
      </c>
      <c r="C399" s="467"/>
      <c r="D399" s="465">
        <v>221333</v>
      </c>
      <c r="E399" s="444">
        <v>13</v>
      </c>
      <c r="F399" s="571">
        <f t="shared" si="27"/>
        <v>0</v>
      </c>
      <c r="G399" s="555">
        <f t="shared" si="28"/>
        <v>0</v>
      </c>
      <c r="H399" s="365"/>
      <c r="I399" s="366"/>
      <c r="J399" s="365"/>
      <c r="K399" s="367"/>
      <c r="L399" s="360"/>
      <c r="M399" s="365"/>
      <c r="N399" s="365"/>
      <c r="O399" s="366"/>
      <c r="P399" s="366"/>
      <c r="Q399" s="367"/>
      <c r="R399" s="360"/>
      <c r="S399" s="367"/>
      <c r="T399" s="573">
        <f t="shared" si="29"/>
        <v>0</v>
      </c>
      <c r="U399" s="574">
        <f t="shared" si="30"/>
        <v>0</v>
      </c>
      <c r="V399" s="365"/>
      <c r="W399" s="366"/>
      <c r="X399" s="368"/>
      <c r="Y399" s="367"/>
      <c r="Z399" s="360"/>
      <c r="AA399" s="365"/>
      <c r="AB399" s="365"/>
      <c r="AC399" s="366"/>
      <c r="AD399" s="366"/>
      <c r="AE399" s="369"/>
      <c r="AF399" s="360"/>
      <c r="AG399" s="366"/>
    </row>
    <row r="400" spans="1:33">
      <c r="A400" s="465" t="s">
        <v>82</v>
      </c>
      <c r="B400" s="466" t="s">
        <v>660</v>
      </c>
      <c r="C400" s="467"/>
      <c r="D400" s="465">
        <v>221388</v>
      </c>
      <c r="E400" s="444">
        <v>13</v>
      </c>
      <c r="F400" s="571">
        <f t="shared" si="27"/>
        <v>0</v>
      </c>
      <c r="G400" s="555">
        <f t="shared" si="28"/>
        <v>0</v>
      </c>
      <c r="H400" s="365"/>
      <c r="I400" s="366"/>
      <c r="J400" s="365"/>
      <c r="K400" s="367"/>
      <c r="L400" s="360"/>
      <c r="M400" s="365"/>
      <c r="N400" s="365"/>
      <c r="O400" s="366"/>
      <c r="P400" s="366"/>
      <c r="Q400" s="367"/>
      <c r="R400" s="360"/>
      <c r="S400" s="367"/>
      <c r="T400" s="573">
        <f t="shared" si="29"/>
        <v>0</v>
      </c>
      <c r="U400" s="574">
        <f t="shared" si="30"/>
        <v>0</v>
      </c>
      <c r="V400" s="365"/>
      <c r="W400" s="366"/>
      <c r="X400" s="368"/>
      <c r="Y400" s="367"/>
      <c r="Z400" s="360"/>
      <c r="AA400" s="365"/>
      <c r="AB400" s="365"/>
      <c r="AC400" s="366"/>
      <c r="AD400" s="366"/>
      <c r="AE400" s="369"/>
      <c r="AF400" s="360"/>
      <c r="AG400" s="366"/>
    </row>
    <row r="401" spans="1:33">
      <c r="A401" s="465" t="s">
        <v>82</v>
      </c>
      <c r="B401" s="466" t="s">
        <v>661</v>
      </c>
      <c r="C401" s="467"/>
      <c r="D401" s="465">
        <v>221494</v>
      </c>
      <c r="E401" s="444">
        <v>13</v>
      </c>
      <c r="F401" s="571">
        <f t="shared" si="27"/>
        <v>0</v>
      </c>
      <c r="G401" s="555">
        <f t="shared" si="28"/>
        <v>0</v>
      </c>
      <c r="H401" s="365"/>
      <c r="I401" s="366"/>
      <c r="J401" s="365"/>
      <c r="K401" s="367"/>
      <c r="L401" s="360"/>
      <c r="M401" s="365"/>
      <c r="N401" s="365"/>
      <c r="O401" s="366"/>
      <c r="P401" s="366"/>
      <c r="Q401" s="367"/>
      <c r="R401" s="360"/>
      <c r="S401" s="367"/>
      <c r="T401" s="573">
        <f t="shared" si="29"/>
        <v>0</v>
      </c>
      <c r="U401" s="574">
        <f t="shared" si="30"/>
        <v>0</v>
      </c>
      <c r="V401" s="365"/>
      <c r="W401" s="366"/>
      <c r="X401" s="368"/>
      <c r="Y401" s="367"/>
      <c r="Z401" s="360"/>
      <c r="AA401" s="365"/>
      <c r="AB401" s="365"/>
      <c r="AC401" s="366"/>
      <c r="AD401" s="366"/>
      <c r="AE401" s="369"/>
      <c r="AF401" s="360"/>
      <c r="AG401" s="366"/>
    </row>
    <row r="402" spans="1:33">
      <c r="A402" s="465" t="s">
        <v>82</v>
      </c>
      <c r="B402" s="466" t="s">
        <v>662</v>
      </c>
      <c r="C402" s="467"/>
      <c r="D402" s="465">
        <v>221634</v>
      </c>
      <c r="E402" s="444">
        <v>13</v>
      </c>
      <c r="F402" s="571">
        <f t="shared" si="27"/>
        <v>0</v>
      </c>
      <c r="G402" s="555">
        <f t="shared" si="28"/>
        <v>0</v>
      </c>
      <c r="H402" s="365"/>
      <c r="I402" s="366"/>
      <c r="J402" s="365"/>
      <c r="K402" s="367"/>
      <c r="L402" s="360"/>
      <c r="M402" s="365"/>
      <c r="N402" s="365"/>
      <c r="O402" s="366"/>
      <c r="P402" s="366"/>
      <c r="Q402" s="367"/>
      <c r="R402" s="360"/>
      <c r="S402" s="367"/>
      <c r="T402" s="573">
        <f t="shared" si="29"/>
        <v>0</v>
      </c>
      <c r="U402" s="574">
        <f t="shared" si="30"/>
        <v>0</v>
      </c>
      <c r="V402" s="365"/>
      <c r="W402" s="366"/>
      <c r="X402" s="368"/>
      <c r="Y402" s="367"/>
      <c r="Z402" s="360"/>
      <c r="AA402" s="365"/>
      <c r="AB402" s="365"/>
      <c r="AC402" s="366"/>
      <c r="AD402" s="366"/>
      <c r="AE402" s="369"/>
      <c r="AF402" s="360"/>
      <c r="AG402" s="366"/>
    </row>
    <row r="403" spans="1:33">
      <c r="A403" s="406" t="s">
        <v>83</v>
      </c>
      <c r="B403" s="404" t="s">
        <v>406</v>
      </c>
      <c r="C403" s="405"/>
      <c r="D403" s="406">
        <v>228723</v>
      </c>
      <c r="E403" s="376">
        <v>1</v>
      </c>
      <c r="F403" s="571">
        <f t="shared" si="27"/>
        <v>1063598</v>
      </c>
      <c r="G403" s="555">
        <f t="shared" si="28"/>
        <v>1078649</v>
      </c>
      <c r="H403" s="365">
        <v>1015216</v>
      </c>
      <c r="I403" s="366">
        <v>1025835</v>
      </c>
      <c r="J403" s="365">
        <v>6032</v>
      </c>
      <c r="K403" s="367">
        <v>5542</v>
      </c>
      <c r="L403" s="360">
        <v>37071</v>
      </c>
      <c r="M403" s="365">
        <v>20</v>
      </c>
      <c r="N403" s="365">
        <v>5259</v>
      </c>
      <c r="O403" s="366">
        <v>38262</v>
      </c>
      <c r="P403" s="366">
        <v>6</v>
      </c>
      <c r="Q403" s="367">
        <v>9004</v>
      </c>
      <c r="R403" s="360"/>
      <c r="S403" s="367"/>
      <c r="T403" s="573">
        <f t="shared" si="29"/>
        <v>177489</v>
      </c>
      <c r="U403" s="574">
        <f t="shared" si="30"/>
        <v>176496</v>
      </c>
      <c r="V403" s="365">
        <v>156968</v>
      </c>
      <c r="W403" s="366">
        <v>155812</v>
      </c>
      <c r="X403" s="368">
        <v>2970</v>
      </c>
      <c r="Y403" s="367">
        <v>3130</v>
      </c>
      <c r="Z403" s="360">
        <v>12682</v>
      </c>
      <c r="AA403" s="365">
        <v>254</v>
      </c>
      <c r="AB403" s="365">
        <v>4615</v>
      </c>
      <c r="AC403" s="366">
        <v>13443</v>
      </c>
      <c r="AD403" s="366">
        <v>90</v>
      </c>
      <c r="AE403" s="369">
        <v>4021</v>
      </c>
      <c r="AF403" s="360"/>
      <c r="AG403" s="366"/>
    </row>
    <row r="404" spans="1:33">
      <c r="A404" s="406" t="s">
        <v>83</v>
      </c>
      <c r="B404" s="404" t="s">
        <v>407</v>
      </c>
      <c r="C404" s="405"/>
      <c r="D404" s="406">
        <v>229115</v>
      </c>
      <c r="E404" s="376">
        <v>1</v>
      </c>
      <c r="F404" s="571">
        <f t="shared" si="27"/>
        <v>689132</v>
      </c>
      <c r="G404" s="555">
        <f t="shared" si="28"/>
        <v>703553</v>
      </c>
      <c r="H404" s="365">
        <v>660748</v>
      </c>
      <c r="I404" s="366">
        <v>661186</v>
      </c>
      <c r="J404" s="365">
        <v>7960</v>
      </c>
      <c r="K404" s="367">
        <v>7078</v>
      </c>
      <c r="L404" s="360">
        <v>20409</v>
      </c>
      <c r="M404" s="365">
        <v>0</v>
      </c>
      <c r="N404" s="365">
        <v>15</v>
      </c>
      <c r="O404" s="366">
        <v>35289</v>
      </c>
      <c r="P404" s="366">
        <v>0</v>
      </c>
      <c r="Q404" s="367">
        <v>0</v>
      </c>
      <c r="R404" s="360"/>
      <c r="S404" s="367"/>
      <c r="T404" s="573">
        <f t="shared" si="29"/>
        <v>118242</v>
      </c>
      <c r="U404" s="574">
        <f t="shared" si="30"/>
        <v>120413</v>
      </c>
      <c r="V404" s="365">
        <v>100163</v>
      </c>
      <c r="W404" s="366">
        <v>101055</v>
      </c>
      <c r="X404" s="368">
        <v>2011</v>
      </c>
      <c r="Y404" s="367">
        <v>895</v>
      </c>
      <c r="Z404" s="360">
        <v>16033</v>
      </c>
      <c r="AA404" s="365">
        <v>0</v>
      </c>
      <c r="AB404" s="365">
        <v>35</v>
      </c>
      <c r="AC404" s="366">
        <v>18460</v>
      </c>
      <c r="AD404" s="366">
        <v>3</v>
      </c>
      <c r="AE404" s="369">
        <v>0</v>
      </c>
      <c r="AF404" s="360"/>
      <c r="AG404" s="366"/>
    </row>
    <row r="405" spans="1:33">
      <c r="A405" s="406" t="s">
        <v>83</v>
      </c>
      <c r="B405" s="404" t="s">
        <v>408</v>
      </c>
      <c r="C405" s="405"/>
      <c r="D405" s="406">
        <v>225511</v>
      </c>
      <c r="E405" s="376">
        <v>1</v>
      </c>
      <c r="F405" s="571">
        <f t="shared" si="27"/>
        <v>741538</v>
      </c>
      <c r="G405" s="555">
        <f t="shared" si="28"/>
        <v>772875</v>
      </c>
      <c r="H405" s="365">
        <v>599157</v>
      </c>
      <c r="I405" s="366">
        <v>618211</v>
      </c>
      <c r="J405" s="365">
        <v>4531</v>
      </c>
      <c r="K405" s="367">
        <v>5414</v>
      </c>
      <c r="L405" s="360">
        <v>116691</v>
      </c>
      <c r="M405" s="365">
        <v>162</v>
      </c>
      <c r="N405" s="365">
        <v>20997</v>
      </c>
      <c r="O405" s="366">
        <v>149187</v>
      </c>
      <c r="P405" s="366">
        <v>63</v>
      </c>
      <c r="Q405" s="367">
        <v>0</v>
      </c>
      <c r="R405" s="360"/>
      <c r="S405" s="367"/>
      <c r="T405" s="573">
        <f t="shared" si="29"/>
        <v>179542</v>
      </c>
      <c r="U405" s="574">
        <f t="shared" si="30"/>
        <v>179826</v>
      </c>
      <c r="V405" s="365">
        <v>167445</v>
      </c>
      <c r="W405" s="366">
        <v>166963</v>
      </c>
      <c r="X405" s="368">
        <v>2727</v>
      </c>
      <c r="Y405" s="367">
        <v>2502</v>
      </c>
      <c r="Z405" s="360">
        <v>8511</v>
      </c>
      <c r="AA405" s="365">
        <v>69</v>
      </c>
      <c r="AB405" s="365">
        <v>790</v>
      </c>
      <c r="AC405" s="366">
        <v>10328</v>
      </c>
      <c r="AD405" s="366">
        <v>33</v>
      </c>
      <c r="AE405" s="369">
        <v>0</v>
      </c>
      <c r="AF405" s="360"/>
      <c r="AG405" s="366"/>
    </row>
    <row r="406" spans="1:33">
      <c r="A406" s="406" t="s">
        <v>83</v>
      </c>
      <c r="B406" s="404" t="s">
        <v>409</v>
      </c>
      <c r="C406" s="405"/>
      <c r="D406" s="406">
        <v>227216</v>
      </c>
      <c r="E406" s="376">
        <v>1</v>
      </c>
      <c r="F406" s="571">
        <f t="shared" si="27"/>
        <v>745337</v>
      </c>
      <c r="G406" s="555">
        <f t="shared" si="28"/>
        <v>749078</v>
      </c>
      <c r="H406" s="365">
        <v>667691</v>
      </c>
      <c r="I406" s="366">
        <v>667307</v>
      </c>
      <c r="J406" s="365">
        <v>3640</v>
      </c>
      <c r="K406" s="367">
        <v>2708</v>
      </c>
      <c r="L406" s="360">
        <v>73940</v>
      </c>
      <c r="M406" s="365">
        <v>12</v>
      </c>
      <c r="N406" s="365">
        <v>54</v>
      </c>
      <c r="O406" s="366">
        <v>78991</v>
      </c>
      <c r="P406" s="366">
        <v>21</v>
      </c>
      <c r="Q406" s="367">
        <v>51</v>
      </c>
      <c r="R406" s="360"/>
      <c r="S406" s="367"/>
      <c r="T406" s="573">
        <f t="shared" si="29"/>
        <v>111147</v>
      </c>
      <c r="U406" s="574">
        <f t="shared" si="30"/>
        <v>110081</v>
      </c>
      <c r="V406" s="365">
        <v>73085</v>
      </c>
      <c r="W406" s="366">
        <v>73532</v>
      </c>
      <c r="X406" s="368">
        <v>2617</v>
      </c>
      <c r="Y406" s="367">
        <v>2649</v>
      </c>
      <c r="Z406" s="360">
        <v>35250</v>
      </c>
      <c r="AA406" s="365">
        <v>168</v>
      </c>
      <c r="AB406" s="365">
        <v>27</v>
      </c>
      <c r="AC406" s="366">
        <v>33750</v>
      </c>
      <c r="AD406" s="366">
        <v>150</v>
      </c>
      <c r="AE406" s="369">
        <v>0</v>
      </c>
      <c r="AF406" s="360"/>
      <c r="AG406" s="366"/>
    </row>
    <row r="407" spans="1:33">
      <c r="A407" s="406" t="s">
        <v>83</v>
      </c>
      <c r="B407" s="404" t="s">
        <v>410</v>
      </c>
      <c r="C407" s="405"/>
      <c r="D407" s="406">
        <v>228769</v>
      </c>
      <c r="E407" s="412">
        <v>1</v>
      </c>
      <c r="F407" s="571">
        <f t="shared" si="27"/>
        <v>576495</v>
      </c>
      <c r="G407" s="555">
        <f t="shared" si="28"/>
        <v>635226</v>
      </c>
      <c r="H407" s="365">
        <v>484110</v>
      </c>
      <c r="I407" s="366">
        <v>494907</v>
      </c>
      <c r="J407" s="365">
        <v>2509</v>
      </c>
      <c r="K407" s="367">
        <v>1206</v>
      </c>
      <c r="L407" s="360">
        <v>86162</v>
      </c>
      <c r="M407" s="365">
        <v>273</v>
      </c>
      <c r="N407" s="365">
        <v>3441</v>
      </c>
      <c r="O407" s="366">
        <v>136397</v>
      </c>
      <c r="P407" s="366">
        <v>0</v>
      </c>
      <c r="Q407" s="367">
        <v>2716</v>
      </c>
      <c r="R407" s="360"/>
      <c r="S407" s="367"/>
      <c r="T407" s="573">
        <f t="shared" si="29"/>
        <v>123024</v>
      </c>
      <c r="U407" s="574">
        <f t="shared" si="30"/>
        <v>141161</v>
      </c>
      <c r="V407" s="365">
        <v>85072</v>
      </c>
      <c r="W407" s="366">
        <v>84194</v>
      </c>
      <c r="X407" s="368">
        <v>12060</v>
      </c>
      <c r="Y407" s="367">
        <v>13086</v>
      </c>
      <c r="Z407" s="360">
        <v>25089</v>
      </c>
      <c r="AA407" s="365">
        <v>108</v>
      </c>
      <c r="AB407" s="365">
        <v>695</v>
      </c>
      <c r="AC407" s="366">
        <v>43141</v>
      </c>
      <c r="AD407" s="366">
        <v>6</v>
      </c>
      <c r="AE407" s="369">
        <v>734</v>
      </c>
      <c r="AF407" s="360"/>
      <c r="AG407" s="366"/>
    </row>
    <row r="408" spans="1:33">
      <c r="A408" s="406" t="s">
        <v>83</v>
      </c>
      <c r="B408" s="404" t="s">
        <v>411</v>
      </c>
      <c r="C408" s="405"/>
      <c r="D408" s="406">
        <v>228778</v>
      </c>
      <c r="E408" s="376">
        <v>1</v>
      </c>
      <c r="F408" s="571">
        <f t="shared" si="27"/>
        <v>1037705</v>
      </c>
      <c r="G408" s="555">
        <f t="shared" si="28"/>
        <v>1044081</v>
      </c>
      <c r="H408" s="365">
        <v>1032585</v>
      </c>
      <c r="I408" s="366">
        <v>1038847</v>
      </c>
      <c r="J408" s="365">
        <v>5120</v>
      </c>
      <c r="K408" s="367">
        <v>5234</v>
      </c>
      <c r="L408" s="360">
        <v>0</v>
      </c>
      <c r="M408" s="365">
        <v>0</v>
      </c>
      <c r="N408" s="365">
        <v>0</v>
      </c>
      <c r="O408" s="366">
        <v>0</v>
      </c>
      <c r="P408" s="366">
        <v>0</v>
      </c>
      <c r="Q408" s="367">
        <v>0</v>
      </c>
      <c r="R408" s="360"/>
      <c r="S408" s="367"/>
      <c r="T408" s="573">
        <f t="shared" si="29"/>
        <v>268580</v>
      </c>
      <c r="U408" s="574">
        <f t="shared" si="30"/>
        <v>268775</v>
      </c>
      <c r="V408" s="365">
        <v>268094</v>
      </c>
      <c r="W408" s="366">
        <v>268587</v>
      </c>
      <c r="X408" s="368">
        <v>486</v>
      </c>
      <c r="Y408" s="367">
        <v>188</v>
      </c>
      <c r="Z408" s="360">
        <v>0</v>
      </c>
      <c r="AA408" s="365">
        <v>0</v>
      </c>
      <c r="AB408" s="365">
        <v>0</v>
      </c>
      <c r="AC408" s="366">
        <v>0</v>
      </c>
      <c r="AD408" s="366">
        <v>0</v>
      </c>
      <c r="AE408" s="369">
        <v>0</v>
      </c>
      <c r="AF408" s="360"/>
      <c r="AG408" s="366"/>
    </row>
    <row r="409" spans="1:33">
      <c r="A409" s="406" t="s">
        <v>83</v>
      </c>
      <c r="B409" s="404" t="s">
        <v>412</v>
      </c>
      <c r="C409" s="405"/>
      <c r="D409" s="406">
        <v>228787</v>
      </c>
      <c r="E409" s="376">
        <v>1</v>
      </c>
      <c r="F409" s="571">
        <f t="shared" si="27"/>
        <v>268230</v>
      </c>
      <c r="G409" s="555">
        <f t="shared" si="28"/>
        <v>293125</v>
      </c>
      <c r="H409" s="365">
        <v>261382</v>
      </c>
      <c r="I409" s="366">
        <v>279940</v>
      </c>
      <c r="J409" s="365">
        <v>1221</v>
      </c>
      <c r="K409" s="367">
        <v>1613</v>
      </c>
      <c r="L409" s="360">
        <v>5606</v>
      </c>
      <c r="M409" s="365">
        <v>21</v>
      </c>
      <c r="N409" s="365">
        <v>0</v>
      </c>
      <c r="O409" s="366">
        <v>11569</v>
      </c>
      <c r="P409" s="366">
        <v>3</v>
      </c>
      <c r="Q409" s="367">
        <v>0</v>
      </c>
      <c r="R409" s="360"/>
      <c r="S409" s="367"/>
      <c r="T409" s="573">
        <f t="shared" si="29"/>
        <v>114444</v>
      </c>
      <c r="U409" s="574">
        <f t="shared" si="30"/>
        <v>120080</v>
      </c>
      <c r="V409" s="365">
        <v>99432</v>
      </c>
      <c r="W409" s="366">
        <v>105652</v>
      </c>
      <c r="X409" s="368">
        <v>468</v>
      </c>
      <c r="Y409" s="367">
        <v>90</v>
      </c>
      <c r="Z409" s="360">
        <v>14544</v>
      </c>
      <c r="AA409" s="365">
        <v>0</v>
      </c>
      <c r="AB409" s="365">
        <v>0</v>
      </c>
      <c r="AC409" s="366">
        <v>14338</v>
      </c>
      <c r="AD409" s="366">
        <v>0</v>
      </c>
      <c r="AE409" s="369">
        <v>0</v>
      </c>
      <c r="AF409" s="360"/>
      <c r="AG409" s="366"/>
    </row>
    <row r="410" spans="1:33">
      <c r="A410" s="406" t="s">
        <v>83</v>
      </c>
      <c r="B410" s="404" t="s">
        <v>413</v>
      </c>
      <c r="C410" s="405" t="s">
        <v>539</v>
      </c>
      <c r="D410" s="406">
        <v>229179</v>
      </c>
      <c r="E410" s="376">
        <v>2</v>
      </c>
      <c r="F410" s="571">
        <f t="shared" si="27"/>
        <v>207868</v>
      </c>
      <c r="G410" s="555">
        <f t="shared" si="28"/>
        <v>221575</v>
      </c>
      <c r="H410" s="365">
        <v>154155</v>
      </c>
      <c r="I410" s="366">
        <v>163845</v>
      </c>
      <c r="J410" s="365">
        <v>2978</v>
      </c>
      <c r="K410" s="367">
        <v>2569</v>
      </c>
      <c r="L410" s="360">
        <v>50615</v>
      </c>
      <c r="M410" s="365">
        <v>60</v>
      </c>
      <c r="N410" s="365">
        <v>60</v>
      </c>
      <c r="O410" s="366">
        <v>55101</v>
      </c>
      <c r="P410" s="366">
        <v>0</v>
      </c>
      <c r="Q410" s="367">
        <v>60</v>
      </c>
      <c r="R410" s="360"/>
      <c r="S410" s="367"/>
      <c r="T410" s="573">
        <f t="shared" si="29"/>
        <v>99837</v>
      </c>
      <c r="U410" s="574">
        <f t="shared" si="30"/>
        <v>101023</v>
      </c>
      <c r="V410" s="365">
        <v>48747</v>
      </c>
      <c r="W410" s="366">
        <v>50672</v>
      </c>
      <c r="X410" s="368">
        <v>1944</v>
      </c>
      <c r="Y410" s="367">
        <v>549</v>
      </c>
      <c r="Z410" s="360">
        <v>48680</v>
      </c>
      <c r="AA410" s="365">
        <v>466</v>
      </c>
      <c r="AB410" s="365">
        <v>0</v>
      </c>
      <c r="AC410" s="366">
        <v>49414</v>
      </c>
      <c r="AD410" s="366">
        <v>388</v>
      </c>
      <c r="AE410" s="369">
        <v>0</v>
      </c>
      <c r="AF410" s="360"/>
      <c r="AG410" s="366"/>
    </row>
    <row r="411" spans="1:33">
      <c r="A411" s="406" t="s">
        <v>83</v>
      </c>
      <c r="B411" s="404" t="s">
        <v>414</v>
      </c>
      <c r="C411" s="405"/>
      <c r="D411" s="406">
        <v>228796</v>
      </c>
      <c r="E411" s="412">
        <v>2</v>
      </c>
      <c r="F411" s="571">
        <f t="shared" si="27"/>
        <v>435923</v>
      </c>
      <c r="G411" s="555">
        <f t="shared" si="28"/>
        <v>458406</v>
      </c>
      <c r="H411" s="365">
        <v>409500</v>
      </c>
      <c r="I411" s="366">
        <v>411558</v>
      </c>
      <c r="J411" s="365">
        <v>5130</v>
      </c>
      <c r="K411" s="367">
        <v>5619</v>
      </c>
      <c r="L411" s="360">
        <v>21293</v>
      </c>
      <c r="M411" s="365">
        <v>0</v>
      </c>
      <c r="N411" s="365">
        <v>0</v>
      </c>
      <c r="O411" s="366">
        <v>41229</v>
      </c>
      <c r="P411" s="366">
        <v>0</v>
      </c>
      <c r="Q411" s="367">
        <v>0</v>
      </c>
      <c r="R411" s="360"/>
      <c r="S411" s="367"/>
      <c r="T411" s="573">
        <f t="shared" si="29"/>
        <v>60139</v>
      </c>
      <c r="U411" s="574">
        <f t="shared" si="30"/>
        <v>60922</v>
      </c>
      <c r="V411" s="365">
        <v>45393</v>
      </c>
      <c r="W411" s="366">
        <v>41754</v>
      </c>
      <c r="X411" s="368">
        <v>3106</v>
      </c>
      <c r="Y411" s="367">
        <v>4181</v>
      </c>
      <c r="Z411" s="360">
        <v>11640</v>
      </c>
      <c r="AA411" s="365">
        <v>0</v>
      </c>
      <c r="AB411" s="365">
        <v>0</v>
      </c>
      <c r="AC411" s="366">
        <v>14987</v>
      </c>
      <c r="AD411" s="366">
        <v>0</v>
      </c>
      <c r="AE411" s="369">
        <v>0</v>
      </c>
      <c r="AF411" s="360"/>
      <c r="AG411" s="366"/>
    </row>
    <row r="412" spans="1:33">
      <c r="A412" s="406" t="s">
        <v>83</v>
      </c>
      <c r="B412" s="404" t="s">
        <v>415</v>
      </c>
      <c r="C412" s="405"/>
      <c r="D412" s="406">
        <v>229027</v>
      </c>
      <c r="E412" s="379">
        <v>2</v>
      </c>
      <c r="F412" s="571">
        <f t="shared" si="27"/>
        <v>631779</v>
      </c>
      <c r="G412" s="555">
        <f t="shared" si="28"/>
        <v>652638</v>
      </c>
      <c r="H412" s="365">
        <v>612260</v>
      </c>
      <c r="I412" s="366">
        <v>625696</v>
      </c>
      <c r="J412" s="365">
        <v>2580</v>
      </c>
      <c r="K412" s="367">
        <v>1740</v>
      </c>
      <c r="L412" s="360">
        <v>11230</v>
      </c>
      <c r="M412" s="365">
        <v>5709</v>
      </c>
      <c r="N412" s="365">
        <v>0</v>
      </c>
      <c r="O412" s="366">
        <v>19223</v>
      </c>
      <c r="P412" s="366">
        <v>5979</v>
      </c>
      <c r="Q412" s="367">
        <v>0</v>
      </c>
      <c r="R412" s="360"/>
      <c r="S412" s="367"/>
      <c r="T412" s="573">
        <f t="shared" si="29"/>
        <v>63158</v>
      </c>
      <c r="U412" s="574">
        <f t="shared" si="30"/>
        <v>69896</v>
      </c>
      <c r="V412" s="365">
        <v>61073</v>
      </c>
      <c r="W412" s="366">
        <v>65474</v>
      </c>
      <c r="X412" s="368">
        <v>720</v>
      </c>
      <c r="Y412" s="367">
        <v>825</v>
      </c>
      <c r="Z412" s="360">
        <v>1212</v>
      </c>
      <c r="AA412" s="365">
        <v>153</v>
      </c>
      <c r="AB412" s="365">
        <v>0</v>
      </c>
      <c r="AC412" s="366">
        <v>3495</v>
      </c>
      <c r="AD412" s="366">
        <v>102</v>
      </c>
      <c r="AE412" s="369">
        <v>0</v>
      </c>
      <c r="AF412" s="360"/>
      <c r="AG412" s="366"/>
    </row>
    <row r="413" spans="1:33">
      <c r="A413" s="406" t="s">
        <v>83</v>
      </c>
      <c r="B413" s="404" t="s">
        <v>416</v>
      </c>
      <c r="C413" s="405"/>
      <c r="D413" s="406">
        <v>222831</v>
      </c>
      <c r="E413" s="376">
        <v>3</v>
      </c>
      <c r="F413" s="571">
        <f t="shared" si="27"/>
        <v>150284</v>
      </c>
      <c r="G413" s="555">
        <f t="shared" si="28"/>
        <v>152059</v>
      </c>
      <c r="H413" s="365">
        <v>139059</v>
      </c>
      <c r="I413" s="366">
        <v>137821</v>
      </c>
      <c r="J413" s="365">
        <v>0</v>
      </c>
      <c r="K413" s="367">
        <v>0</v>
      </c>
      <c r="L413" s="360">
        <v>11225</v>
      </c>
      <c r="M413" s="365">
        <v>0</v>
      </c>
      <c r="N413" s="365">
        <v>0</v>
      </c>
      <c r="O413" s="366">
        <v>14238</v>
      </c>
      <c r="P413" s="366">
        <v>0</v>
      </c>
      <c r="Q413" s="367">
        <v>0</v>
      </c>
      <c r="R413" s="360"/>
      <c r="S413" s="367"/>
      <c r="T413" s="573">
        <f t="shared" si="29"/>
        <v>11853</v>
      </c>
      <c r="U413" s="574">
        <f t="shared" si="30"/>
        <v>14688</v>
      </c>
      <c r="V413" s="365">
        <v>5210</v>
      </c>
      <c r="W413" s="366">
        <v>5944</v>
      </c>
      <c r="X413" s="368">
        <v>0</v>
      </c>
      <c r="Y413" s="367">
        <v>0</v>
      </c>
      <c r="Z413" s="360">
        <v>6643</v>
      </c>
      <c r="AA413" s="365">
        <v>0</v>
      </c>
      <c r="AB413" s="365">
        <v>0</v>
      </c>
      <c r="AC413" s="366">
        <v>8744</v>
      </c>
      <c r="AD413" s="366">
        <v>0</v>
      </c>
      <c r="AE413" s="369">
        <v>0</v>
      </c>
      <c r="AF413" s="360"/>
      <c r="AG413" s="366"/>
    </row>
    <row r="414" spans="1:33">
      <c r="A414" s="406" t="s">
        <v>83</v>
      </c>
      <c r="B414" s="404" t="s">
        <v>417</v>
      </c>
      <c r="C414" s="405"/>
      <c r="D414" s="406">
        <v>226091</v>
      </c>
      <c r="E414" s="376">
        <v>3</v>
      </c>
      <c r="F414" s="571">
        <f t="shared" si="27"/>
        <v>232181</v>
      </c>
      <c r="G414" s="555">
        <f t="shared" si="28"/>
        <v>239775</v>
      </c>
      <c r="H414" s="365">
        <v>197967</v>
      </c>
      <c r="I414" s="366">
        <v>197132</v>
      </c>
      <c r="J414" s="365">
        <v>4041</v>
      </c>
      <c r="K414" s="367">
        <v>4174</v>
      </c>
      <c r="L414" s="360">
        <v>27213</v>
      </c>
      <c r="M414" s="365">
        <v>2669</v>
      </c>
      <c r="N414" s="365">
        <v>291</v>
      </c>
      <c r="O414" s="366">
        <v>37026</v>
      </c>
      <c r="P414" s="366">
        <v>1443</v>
      </c>
      <c r="Q414" s="367">
        <v>0</v>
      </c>
      <c r="R414" s="360"/>
      <c r="S414" s="367"/>
      <c r="T414" s="573">
        <f t="shared" si="29"/>
        <v>98151</v>
      </c>
      <c r="U414" s="574">
        <f t="shared" si="30"/>
        <v>78787</v>
      </c>
      <c r="V414" s="365">
        <v>22898</v>
      </c>
      <c r="W414" s="366">
        <v>21774</v>
      </c>
      <c r="X414" s="368">
        <v>0</v>
      </c>
      <c r="Y414" s="367">
        <v>0</v>
      </c>
      <c r="Z414" s="360">
        <v>28495</v>
      </c>
      <c r="AA414" s="365">
        <v>330</v>
      </c>
      <c r="AB414" s="365">
        <v>46428</v>
      </c>
      <c r="AC414" s="366">
        <v>57013</v>
      </c>
      <c r="AD414" s="366">
        <v>0</v>
      </c>
      <c r="AE414" s="369">
        <v>0</v>
      </c>
      <c r="AF414" s="360"/>
      <c r="AG414" s="366"/>
    </row>
    <row r="415" spans="1:33">
      <c r="A415" s="406" t="s">
        <v>83</v>
      </c>
      <c r="B415" s="404" t="s">
        <v>418</v>
      </c>
      <c r="C415" s="405"/>
      <c r="D415" s="406">
        <v>226833</v>
      </c>
      <c r="E415" s="376">
        <v>3</v>
      </c>
      <c r="F415" s="571">
        <f t="shared" si="27"/>
        <v>141792</v>
      </c>
      <c r="G415" s="555">
        <f t="shared" si="28"/>
        <v>138852</v>
      </c>
      <c r="H415" s="365">
        <v>123522</v>
      </c>
      <c r="I415" s="366">
        <v>119912</v>
      </c>
      <c r="J415" s="365">
        <v>2623</v>
      </c>
      <c r="K415" s="367">
        <v>1433</v>
      </c>
      <c r="L415" s="360">
        <v>15647</v>
      </c>
      <c r="M415" s="365">
        <v>0</v>
      </c>
      <c r="N415" s="365">
        <v>0</v>
      </c>
      <c r="O415" s="366">
        <v>17507</v>
      </c>
      <c r="P415" s="366">
        <v>0</v>
      </c>
      <c r="Q415" s="367">
        <v>0</v>
      </c>
      <c r="R415" s="360"/>
      <c r="S415" s="367"/>
      <c r="T415" s="573">
        <f t="shared" si="29"/>
        <v>8356</v>
      </c>
      <c r="U415" s="574">
        <f t="shared" si="30"/>
        <v>8449</v>
      </c>
      <c r="V415" s="365">
        <v>5894</v>
      </c>
      <c r="W415" s="366">
        <v>5017</v>
      </c>
      <c r="X415" s="368">
        <v>108</v>
      </c>
      <c r="Y415" s="367">
        <v>45</v>
      </c>
      <c r="Z415" s="360">
        <v>2312</v>
      </c>
      <c r="AA415" s="365">
        <v>42</v>
      </c>
      <c r="AB415" s="365">
        <v>0</v>
      </c>
      <c r="AC415" s="366">
        <v>3366</v>
      </c>
      <c r="AD415" s="366">
        <v>21</v>
      </c>
      <c r="AE415" s="369">
        <v>0</v>
      </c>
      <c r="AF415" s="360"/>
      <c r="AG415" s="366"/>
    </row>
    <row r="416" spans="1:33">
      <c r="A416" s="406" t="s">
        <v>83</v>
      </c>
      <c r="B416" s="404" t="s">
        <v>419</v>
      </c>
      <c r="C416" s="405"/>
      <c r="D416" s="406">
        <v>227526</v>
      </c>
      <c r="E416" s="376">
        <v>3</v>
      </c>
      <c r="F416" s="571">
        <f t="shared" si="27"/>
        <v>182890</v>
      </c>
      <c r="G416" s="555">
        <f t="shared" si="28"/>
        <v>180915</v>
      </c>
      <c r="H416" s="365">
        <v>176738</v>
      </c>
      <c r="I416" s="366">
        <v>179475</v>
      </c>
      <c r="J416" s="365">
        <v>5360</v>
      </c>
      <c r="K416" s="367">
        <v>12</v>
      </c>
      <c r="L416" s="360">
        <v>792</v>
      </c>
      <c r="M416" s="365">
        <v>0</v>
      </c>
      <c r="N416" s="365">
        <v>0</v>
      </c>
      <c r="O416" s="366">
        <v>1428</v>
      </c>
      <c r="P416" s="366">
        <v>0</v>
      </c>
      <c r="Q416" s="367">
        <v>0</v>
      </c>
      <c r="R416" s="360"/>
      <c r="S416" s="367"/>
      <c r="T416" s="573">
        <f t="shared" si="29"/>
        <v>32482</v>
      </c>
      <c r="U416" s="574">
        <f t="shared" si="30"/>
        <v>28054</v>
      </c>
      <c r="V416" s="365">
        <v>26648</v>
      </c>
      <c r="W416" s="366">
        <v>20806</v>
      </c>
      <c r="X416" s="368">
        <v>2042</v>
      </c>
      <c r="Y416" s="367">
        <v>2877</v>
      </c>
      <c r="Z416" s="360">
        <v>3792</v>
      </c>
      <c r="AA416" s="365">
        <v>0</v>
      </c>
      <c r="AB416" s="365">
        <v>0</v>
      </c>
      <c r="AC416" s="366">
        <v>4371</v>
      </c>
      <c r="AD416" s="366">
        <v>0</v>
      </c>
      <c r="AE416" s="369">
        <v>0</v>
      </c>
      <c r="AF416" s="360"/>
      <c r="AG416" s="366"/>
    </row>
    <row r="417" spans="1:33">
      <c r="A417" s="406" t="s">
        <v>83</v>
      </c>
      <c r="B417" s="404" t="s">
        <v>420</v>
      </c>
      <c r="C417" s="405"/>
      <c r="D417" s="406">
        <v>227881</v>
      </c>
      <c r="E417" s="376">
        <v>3</v>
      </c>
      <c r="F417" s="571">
        <f t="shared" si="27"/>
        <v>401035</v>
      </c>
      <c r="G417" s="555">
        <f t="shared" si="28"/>
        <v>403910</v>
      </c>
      <c r="H417" s="365">
        <v>365223</v>
      </c>
      <c r="I417" s="366">
        <v>360327</v>
      </c>
      <c r="J417" s="365">
        <v>20939</v>
      </c>
      <c r="K417" s="367">
        <v>11983</v>
      </c>
      <c r="L417" s="360">
        <v>14873</v>
      </c>
      <c r="M417" s="365">
        <v>0</v>
      </c>
      <c r="N417" s="365">
        <v>0</v>
      </c>
      <c r="O417" s="366">
        <v>31600</v>
      </c>
      <c r="P417" s="366">
        <v>0</v>
      </c>
      <c r="Q417" s="367">
        <v>0</v>
      </c>
      <c r="R417" s="360"/>
      <c r="S417" s="367"/>
      <c r="T417" s="573">
        <f t="shared" si="29"/>
        <v>41725</v>
      </c>
      <c r="U417" s="574">
        <f t="shared" si="30"/>
        <v>43473</v>
      </c>
      <c r="V417" s="365">
        <v>16059</v>
      </c>
      <c r="W417" s="366">
        <v>17604</v>
      </c>
      <c r="X417" s="368">
        <v>7237</v>
      </c>
      <c r="Y417" s="367">
        <v>2529</v>
      </c>
      <c r="Z417" s="360">
        <v>18357</v>
      </c>
      <c r="AA417" s="365">
        <v>72</v>
      </c>
      <c r="AB417" s="365">
        <v>0</v>
      </c>
      <c r="AC417" s="366">
        <v>23139</v>
      </c>
      <c r="AD417" s="366">
        <v>171</v>
      </c>
      <c r="AE417" s="369">
        <v>30</v>
      </c>
      <c r="AF417" s="360"/>
      <c r="AG417" s="366"/>
    </row>
    <row r="418" spans="1:33">
      <c r="A418" s="406" t="s">
        <v>83</v>
      </c>
      <c r="B418" s="404" t="s">
        <v>421</v>
      </c>
      <c r="C418" s="405"/>
      <c r="D418" s="406">
        <v>228431</v>
      </c>
      <c r="E418" s="376">
        <v>3</v>
      </c>
      <c r="F418" s="571">
        <f t="shared" si="27"/>
        <v>304689</v>
      </c>
      <c r="G418" s="555">
        <f t="shared" si="28"/>
        <v>302536</v>
      </c>
      <c r="H418" s="365">
        <v>265392</v>
      </c>
      <c r="I418" s="366">
        <v>260416</v>
      </c>
      <c r="J418" s="365">
        <v>3705</v>
      </c>
      <c r="K418" s="367">
        <v>1054</v>
      </c>
      <c r="L418" s="360">
        <v>32900</v>
      </c>
      <c r="M418" s="365">
        <v>249</v>
      </c>
      <c r="N418" s="365">
        <v>2443</v>
      </c>
      <c r="O418" s="366">
        <v>36107</v>
      </c>
      <c r="P418" s="366">
        <v>201</v>
      </c>
      <c r="Q418" s="367">
        <v>4758</v>
      </c>
      <c r="R418" s="360"/>
      <c r="S418" s="367"/>
      <c r="T418" s="573">
        <f t="shared" si="29"/>
        <v>27713</v>
      </c>
      <c r="U418" s="574">
        <f t="shared" si="30"/>
        <v>24250</v>
      </c>
      <c r="V418" s="365">
        <v>16426</v>
      </c>
      <c r="W418" s="366">
        <v>14908</v>
      </c>
      <c r="X418" s="368">
        <v>1248</v>
      </c>
      <c r="Y418" s="367">
        <v>531</v>
      </c>
      <c r="Z418" s="360">
        <v>9395</v>
      </c>
      <c r="AA418" s="365">
        <v>217</v>
      </c>
      <c r="AB418" s="365">
        <v>427</v>
      </c>
      <c r="AC418" s="366">
        <v>7681</v>
      </c>
      <c r="AD418" s="366">
        <v>217</v>
      </c>
      <c r="AE418" s="369">
        <v>913</v>
      </c>
      <c r="AF418" s="360"/>
      <c r="AG418" s="366"/>
    </row>
    <row r="419" spans="1:33">
      <c r="A419" s="406" t="s">
        <v>83</v>
      </c>
      <c r="B419" s="404" t="s">
        <v>422</v>
      </c>
      <c r="C419" s="405"/>
      <c r="D419" s="406">
        <v>228501</v>
      </c>
      <c r="E419" s="376">
        <v>3</v>
      </c>
      <c r="F419" s="571">
        <f t="shared" si="27"/>
        <v>36926</v>
      </c>
      <c r="G419" s="555">
        <f t="shared" si="28"/>
        <v>37837</v>
      </c>
      <c r="H419" s="365">
        <v>32570</v>
      </c>
      <c r="I419" s="366">
        <v>32459</v>
      </c>
      <c r="J419" s="365">
        <v>53</v>
      </c>
      <c r="K419" s="367">
        <v>3</v>
      </c>
      <c r="L419" s="360">
        <v>3438</v>
      </c>
      <c r="M419" s="365">
        <v>865</v>
      </c>
      <c r="N419" s="365">
        <v>0</v>
      </c>
      <c r="O419" s="366">
        <v>4587</v>
      </c>
      <c r="P419" s="366">
        <v>788</v>
      </c>
      <c r="Q419" s="367">
        <v>0</v>
      </c>
      <c r="R419" s="360"/>
      <c r="S419" s="367"/>
      <c r="T419" s="573">
        <f t="shared" si="29"/>
        <v>9264</v>
      </c>
      <c r="U419" s="574">
        <f t="shared" si="30"/>
        <v>8987</v>
      </c>
      <c r="V419" s="365">
        <v>3889</v>
      </c>
      <c r="W419" s="366">
        <v>3227</v>
      </c>
      <c r="X419" s="368">
        <v>572</v>
      </c>
      <c r="Y419" s="367">
        <v>219</v>
      </c>
      <c r="Z419" s="360">
        <v>4155</v>
      </c>
      <c r="AA419" s="365">
        <v>648</v>
      </c>
      <c r="AB419" s="365">
        <v>0</v>
      </c>
      <c r="AC419" s="366">
        <v>5112</v>
      </c>
      <c r="AD419" s="366">
        <v>429</v>
      </c>
      <c r="AE419" s="369">
        <v>0</v>
      </c>
      <c r="AF419" s="360"/>
      <c r="AG419" s="366"/>
    </row>
    <row r="420" spans="1:33">
      <c r="A420" s="406" t="s">
        <v>83</v>
      </c>
      <c r="B420" s="404" t="s">
        <v>423</v>
      </c>
      <c r="C420" s="405"/>
      <c r="D420" s="406">
        <v>228529</v>
      </c>
      <c r="E420" s="376">
        <v>3</v>
      </c>
      <c r="F420" s="571">
        <f t="shared" si="27"/>
        <v>196208</v>
      </c>
      <c r="G420" s="555">
        <f t="shared" si="28"/>
        <v>211207</v>
      </c>
      <c r="H420" s="365">
        <v>156242</v>
      </c>
      <c r="I420" s="366">
        <v>161134</v>
      </c>
      <c r="J420" s="365">
        <v>15185</v>
      </c>
      <c r="K420" s="367">
        <v>17911</v>
      </c>
      <c r="L420" s="360">
        <v>24091</v>
      </c>
      <c r="M420" s="365">
        <v>690</v>
      </c>
      <c r="N420" s="365">
        <v>0</v>
      </c>
      <c r="O420" s="366">
        <v>31670</v>
      </c>
      <c r="P420" s="366">
        <v>492</v>
      </c>
      <c r="Q420" s="367">
        <v>0</v>
      </c>
      <c r="R420" s="360"/>
      <c r="S420" s="367"/>
      <c r="T420" s="573">
        <f t="shared" si="29"/>
        <v>21239</v>
      </c>
      <c r="U420" s="574">
        <f t="shared" si="30"/>
        <v>22440</v>
      </c>
      <c r="V420" s="365">
        <v>5253</v>
      </c>
      <c r="W420" s="366">
        <v>5089</v>
      </c>
      <c r="X420" s="368">
        <v>8113</v>
      </c>
      <c r="Y420" s="367">
        <v>7802</v>
      </c>
      <c r="Z420" s="360">
        <v>7765</v>
      </c>
      <c r="AA420" s="365">
        <v>108</v>
      </c>
      <c r="AB420" s="365">
        <v>0</v>
      </c>
      <c r="AC420" s="366">
        <v>9529</v>
      </c>
      <c r="AD420" s="366">
        <v>20</v>
      </c>
      <c r="AE420" s="369">
        <v>0</v>
      </c>
      <c r="AF420" s="360"/>
      <c r="AG420" s="366"/>
    </row>
    <row r="421" spans="1:33">
      <c r="A421" s="406" t="s">
        <v>83</v>
      </c>
      <c r="B421" s="404" t="s">
        <v>424</v>
      </c>
      <c r="C421" s="405"/>
      <c r="D421" s="406">
        <v>226152</v>
      </c>
      <c r="E421" s="379">
        <v>3</v>
      </c>
      <c r="F421" s="571">
        <f t="shared" si="27"/>
        <v>133036</v>
      </c>
      <c r="G421" s="555">
        <f t="shared" si="28"/>
        <v>140861</v>
      </c>
      <c r="H421" s="365">
        <v>126419</v>
      </c>
      <c r="I421" s="366">
        <v>132551</v>
      </c>
      <c r="J421" s="365">
        <v>0</v>
      </c>
      <c r="K421" s="367">
        <v>2516</v>
      </c>
      <c r="L421" s="360">
        <v>6617</v>
      </c>
      <c r="M421" s="365">
        <v>0</v>
      </c>
      <c r="N421" s="365">
        <v>0</v>
      </c>
      <c r="O421" s="366">
        <v>5716</v>
      </c>
      <c r="P421" s="366">
        <v>78</v>
      </c>
      <c r="Q421" s="367">
        <v>0</v>
      </c>
      <c r="R421" s="360"/>
      <c r="S421" s="367"/>
      <c r="T421" s="573">
        <f t="shared" si="29"/>
        <v>14220</v>
      </c>
      <c r="U421" s="574">
        <f t="shared" si="30"/>
        <v>12661</v>
      </c>
      <c r="V421" s="365">
        <v>10989</v>
      </c>
      <c r="W421" s="366">
        <v>9547</v>
      </c>
      <c r="X421" s="368">
        <v>0</v>
      </c>
      <c r="Y421" s="367">
        <v>18</v>
      </c>
      <c r="Z421" s="360">
        <v>3060</v>
      </c>
      <c r="AA421" s="365">
        <v>171</v>
      </c>
      <c r="AB421" s="365">
        <v>0</v>
      </c>
      <c r="AC421" s="366">
        <v>3009</v>
      </c>
      <c r="AD421" s="366">
        <v>87</v>
      </c>
      <c r="AE421" s="369">
        <v>0</v>
      </c>
      <c r="AF421" s="360"/>
      <c r="AG421" s="366"/>
    </row>
    <row r="422" spans="1:33">
      <c r="A422" s="406" t="s">
        <v>83</v>
      </c>
      <c r="B422" s="404" t="s">
        <v>425</v>
      </c>
      <c r="C422" s="405"/>
      <c r="D422" s="406">
        <v>224554</v>
      </c>
      <c r="E422" s="376">
        <v>3</v>
      </c>
      <c r="F422" s="571">
        <f t="shared" si="27"/>
        <v>149128</v>
      </c>
      <c r="G422" s="555">
        <f t="shared" si="28"/>
        <v>164243</v>
      </c>
      <c r="H422" s="365">
        <v>98196</v>
      </c>
      <c r="I422" s="366">
        <v>103847</v>
      </c>
      <c r="J422" s="365">
        <v>14970</v>
      </c>
      <c r="K422" s="367">
        <v>16428</v>
      </c>
      <c r="L422" s="360">
        <v>35659</v>
      </c>
      <c r="M422" s="365">
        <v>303</v>
      </c>
      <c r="N422" s="365">
        <v>0</v>
      </c>
      <c r="O422" s="366">
        <v>43545</v>
      </c>
      <c r="P422" s="366">
        <v>423</v>
      </c>
      <c r="Q422" s="367">
        <v>0</v>
      </c>
      <c r="R422" s="360"/>
      <c r="S422" s="367"/>
      <c r="T422" s="573">
        <f t="shared" si="29"/>
        <v>64200</v>
      </c>
      <c r="U422" s="574">
        <f t="shared" si="30"/>
        <v>70252</v>
      </c>
      <c r="V422" s="365">
        <v>17488</v>
      </c>
      <c r="W422" s="366">
        <v>18731</v>
      </c>
      <c r="X422" s="368">
        <v>16093</v>
      </c>
      <c r="Y422" s="367">
        <v>15180</v>
      </c>
      <c r="Z422" s="360">
        <v>30190</v>
      </c>
      <c r="AA422" s="365">
        <v>429</v>
      </c>
      <c r="AB422" s="365">
        <v>0</v>
      </c>
      <c r="AC422" s="366">
        <v>35921</v>
      </c>
      <c r="AD422" s="366">
        <v>420</v>
      </c>
      <c r="AE422" s="369">
        <v>0</v>
      </c>
      <c r="AF422" s="360"/>
      <c r="AG422" s="366"/>
    </row>
    <row r="423" spans="1:33">
      <c r="A423" s="406" t="s">
        <v>83</v>
      </c>
      <c r="B423" s="404" t="s">
        <v>426</v>
      </c>
      <c r="C423" s="405"/>
      <c r="D423" s="406">
        <v>224147</v>
      </c>
      <c r="E423" s="376">
        <v>3</v>
      </c>
      <c r="F423" s="571">
        <f t="shared" si="27"/>
        <v>210868</v>
      </c>
      <c r="G423" s="555">
        <f t="shared" si="28"/>
        <v>219390</v>
      </c>
      <c r="H423" s="365">
        <v>203818</v>
      </c>
      <c r="I423" s="366">
        <v>211253</v>
      </c>
      <c r="J423" s="365">
        <v>0</v>
      </c>
      <c r="K423" s="367">
        <v>0</v>
      </c>
      <c r="L423" s="360">
        <v>7050</v>
      </c>
      <c r="M423" s="365">
        <v>0</v>
      </c>
      <c r="N423" s="365">
        <v>0</v>
      </c>
      <c r="O423" s="366">
        <v>8137</v>
      </c>
      <c r="P423" s="366">
        <v>0</v>
      </c>
      <c r="Q423" s="367">
        <v>0</v>
      </c>
      <c r="R423" s="360"/>
      <c r="S423" s="367"/>
      <c r="T423" s="573">
        <f t="shared" si="29"/>
        <v>31031</v>
      </c>
      <c r="U423" s="574">
        <f t="shared" si="30"/>
        <v>30694</v>
      </c>
      <c r="V423" s="365">
        <v>24486</v>
      </c>
      <c r="W423" s="366">
        <v>23586</v>
      </c>
      <c r="X423" s="368">
        <v>0</v>
      </c>
      <c r="Y423" s="367">
        <v>0</v>
      </c>
      <c r="Z423" s="360">
        <v>6545</v>
      </c>
      <c r="AA423" s="365">
        <v>0</v>
      </c>
      <c r="AB423" s="365">
        <v>0</v>
      </c>
      <c r="AC423" s="366">
        <v>7108</v>
      </c>
      <c r="AD423" s="366">
        <v>0</v>
      </c>
      <c r="AE423" s="369">
        <v>0</v>
      </c>
      <c r="AF423" s="360"/>
      <c r="AG423" s="366"/>
    </row>
    <row r="424" spans="1:33">
      <c r="A424" s="406" t="s">
        <v>83</v>
      </c>
      <c r="B424" s="404" t="s">
        <v>427</v>
      </c>
      <c r="C424" s="405"/>
      <c r="D424" s="406">
        <v>228705</v>
      </c>
      <c r="E424" s="376">
        <v>3</v>
      </c>
      <c r="F424" s="571">
        <f t="shared" si="27"/>
        <v>131247</v>
      </c>
      <c r="G424" s="555">
        <f t="shared" si="28"/>
        <v>140055</v>
      </c>
      <c r="H424" s="365">
        <v>127316</v>
      </c>
      <c r="I424" s="366">
        <v>134040</v>
      </c>
      <c r="J424" s="365">
        <v>947</v>
      </c>
      <c r="K424" s="367">
        <v>1101</v>
      </c>
      <c r="L424" s="360">
        <v>2640</v>
      </c>
      <c r="M424" s="365">
        <v>344</v>
      </c>
      <c r="N424" s="365">
        <v>0</v>
      </c>
      <c r="O424" s="366">
        <v>4608</v>
      </c>
      <c r="P424" s="366">
        <v>306</v>
      </c>
      <c r="Q424" s="367">
        <v>0</v>
      </c>
      <c r="R424" s="360"/>
      <c r="S424" s="367"/>
      <c r="T424" s="573">
        <f t="shared" si="29"/>
        <v>21491</v>
      </c>
      <c r="U424" s="574">
        <f t="shared" si="30"/>
        <v>21495</v>
      </c>
      <c r="V424" s="365">
        <v>16976</v>
      </c>
      <c r="W424" s="366">
        <v>17613</v>
      </c>
      <c r="X424" s="368">
        <v>0</v>
      </c>
      <c r="Y424" s="367">
        <v>12</v>
      </c>
      <c r="Z424" s="360">
        <v>4416</v>
      </c>
      <c r="AA424" s="365">
        <v>99</v>
      </c>
      <c r="AB424" s="365">
        <v>0</v>
      </c>
      <c r="AC424" s="366">
        <v>3708</v>
      </c>
      <c r="AD424" s="366">
        <v>162</v>
      </c>
      <c r="AE424" s="369">
        <v>0</v>
      </c>
      <c r="AF424" s="360"/>
      <c r="AG424" s="366"/>
    </row>
    <row r="425" spans="1:33">
      <c r="A425" s="406" t="s">
        <v>83</v>
      </c>
      <c r="B425" s="404" t="s">
        <v>428</v>
      </c>
      <c r="C425" s="405"/>
      <c r="D425" s="406">
        <v>229063</v>
      </c>
      <c r="E425" s="376">
        <v>3</v>
      </c>
      <c r="F425" s="571">
        <f t="shared" si="27"/>
        <v>188315</v>
      </c>
      <c r="G425" s="555">
        <f t="shared" si="28"/>
        <v>181105</v>
      </c>
      <c r="H425" s="365">
        <v>184649</v>
      </c>
      <c r="I425" s="366">
        <v>177441</v>
      </c>
      <c r="J425" s="365">
        <v>90</v>
      </c>
      <c r="K425" s="367">
        <v>88</v>
      </c>
      <c r="L425" s="360">
        <v>1227</v>
      </c>
      <c r="M425" s="365">
        <v>0</v>
      </c>
      <c r="N425" s="365">
        <v>2349</v>
      </c>
      <c r="O425" s="366">
        <v>0</v>
      </c>
      <c r="P425" s="366">
        <v>0</v>
      </c>
      <c r="Q425" s="367">
        <v>3576</v>
      </c>
      <c r="R425" s="360"/>
      <c r="S425" s="367"/>
      <c r="T425" s="573">
        <f t="shared" si="29"/>
        <v>53606</v>
      </c>
      <c r="U425" s="574">
        <f t="shared" si="30"/>
        <v>59197</v>
      </c>
      <c r="V425" s="365">
        <v>48809</v>
      </c>
      <c r="W425" s="366">
        <v>51346</v>
      </c>
      <c r="X425" s="368">
        <v>369</v>
      </c>
      <c r="Y425" s="367">
        <v>360</v>
      </c>
      <c r="Z425" s="360">
        <v>2619</v>
      </c>
      <c r="AA425" s="365">
        <v>0</v>
      </c>
      <c r="AB425" s="365">
        <v>1809</v>
      </c>
      <c r="AC425" s="366">
        <v>0</v>
      </c>
      <c r="AD425" s="366">
        <v>0</v>
      </c>
      <c r="AE425" s="369">
        <v>7491</v>
      </c>
      <c r="AF425" s="360"/>
      <c r="AG425" s="366"/>
    </row>
    <row r="426" spans="1:33">
      <c r="A426" s="406" t="s">
        <v>83</v>
      </c>
      <c r="B426" s="413" t="s">
        <v>429</v>
      </c>
      <c r="C426" s="414"/>
      <c r="D426" s="406">
        <v>228459</v>
      </c>
      <c r="E426" s="376">
        <v>3</v>
      </c>
      <c r="F426" s="571">
        <f t="shared" si="27"/>
        <v>711892</v>
      </c>
      <c r="G426" s="555">
        <f t="shared" si="28"/>
        <v>748416</v>
      </c>
      <c r="H426" s="365">
        <v>672208</v>
      </c>
      <c r="I426" s="366">
        <v>702029</v>
      </c>
      <c r="J426" s="365">
        <v>28613</v>
      </c>
      <c r="K426" s="367">
        <v>31364</v>
      </c>
      <c r="L426" s="360">
        <v>10578</v>
      </c>
      <c r="M426" s="365">
        <v>217</v>
      </c>
      <c r="N426" s="365">
        <v>276</v>
      </c>
      <c r="O426" s="366">
        <v>14486</v>
      </c>
      <c r="P426" s="366">
        <v>156</v>
      </c>
      <c r="Q426" s="367">
        <v>381</v>
      </c>
      <c r="R426" s="360"/>
      <c r="S426" s="367"/>
      <c r="T426" s="573">
        <f t="shared" si="29"/>
        <v>78046</v>
      </c>
      <c r="U426" s="574">
        <f t="shared" si="30"/>
        <v>79610</v>
      </c>
      <c r="V426" s="365">
        <v>60760</v>
      </c>
      <c r="W426" s="366">
        <v>61890</v>
      </c>
      <c r="X426" s="368">
        <v>10625</v>
      </c>
      <c r="Y426" s="367">
        <v>10394</v>
      </c>
      <c r="Z426" s="360">
        <v>6040</v>
      </c>
      <c r="AA426" s="365">
        <v>573</v>
      </c>
      <c r="AB426" s="365">
        <v>48</v>
      </c>
      <c r="AC426" s="366">
        <v>6648</v>
      </c>
      <c r="AD426" s="366">
        <v>603</v>
      </c>
      <c r="AE426" s="369">
        <v>75</v>
      </c>
      <c r="AF426" s="360"/>
      <c r="AG426" s="366"/>
    </row>
    <row r="427" spans="1:33">
      <c r="A427" s="406" t="s">
        <v>83</v>
      </c>
      <c r="B427" s="404" t="s">
        <v>430</v>
      </c>
      <c r="C427" s="405"/>
      <c r="D427" s="406">
        <v>225414</v>
      </c>
      <c r="E427" s="376">
        <v>3</v>
      </c>
      <c r="F427" s="571">
        <f t="shared" si="27"/>
        <v>103500</v>
      </c>
      <c r="G427" s="555">
        <f t="shared" si="28"/>
        <v>106310</v>
      </c>
      <c r="H427" s="365">
        <v>80826</v>
      </c>
      <c r="I427" s="366">
        <v>76747</v>
      </c>
      <c r="J427" s="365">
        <v>6642</v>
      </c>
      <c r="K427" s="367">
        <v>8657</v>
      </c>
      <c r="L427" s="360">
        <v>16032</v>
      </c>
      <c r="M427" s="365">
        <v>0</v>
      </c>
      <c r="N427" s="365">
        <v>0</v>
      </c>
      <c r="O427" s="366">
        <v>20906</v>
      </c>
      <c r="P427" s="366">
        <v>0</v>
      </c>
      <c r="Q427" s="367">
        <v>0</v>
      </c>
      <c r="R427" s="360"/>
      <c r="S427" s="367"/>
      <c r="T427" s="573">
        <f t="shared" si="29"/>
        <v>53447</v>
      </c>
      <c r="U427" s="574">
        <f t="shared" si="30"/>
        <v>53804</v>
      </c>
      <c r="V427" s="365">
        <v>33248</v>
      </c>
      <c r="W427" s="366">
        <v>32520</v>
      </c>
      <c r="X427" s="368">
        <v>6044</v>
      </c>
      <c r="Y427" s="367">
        <v>6250</v>
      </c>
      <c r="Z427" s="360">
        <v>14155</v>
      </c>
      <c r="AA427" s="365">
        <v>0</v>
      </c>
      <c r="AB427" s="365">
        <v>0</v>
      </c>
      <c r="AC427" s="366">
        <v>15034</v>
      </c>
      <c r="AD427" s="366">
        <v>0</v>
      </c>
      <c r="AE427" s="369">
        <v>0</v>
      </c>
      <c r="AF427" s="360"/>
      <c r="AG427" s="366"/>
    </row>
    <row r="428" spans="1:33">
      <c r="A428" s="406" t="s">
        <v>83</v>
      </c>
      <c r="B428" s="404" t="s">
        <v>431</v>
      </c>
      <c r="C428" s="405"/>
      <c r="D428" s="406">
        <v>227377</v>
      </c>
      <c r="E428" s="415">
        <v>3</v>
      </c>
      <c r="F428" s="571">
        <f t="shared" si="27"/>
        <v>96681</v>
      </c>
      <c r="G428" s="555">
        <f t="shared" si="28"/>
        <v>102704</v>
      </c>
      <c r="H428" s="365">
        <v>80727</v>
      </c>
      <c r="I428" s="366">
        <v>84689</v>
      </c>
      <c r="J428" s="365">
        <v>0</v>
      </c>
      <c r="K428" s="367">
        <v>0</v>
      </c>
      <c r="L428" s="360">
        <v>15954</v>
      </c>
      <c r="M428" s="365">
        <v>0</v>
      </c>
      <c r="N428" s="365">
        <v>0</v>
      </c>
      <c r="O428" s="366">
        <v>18015</v>
      </c>
      <c r="P428" s="366">
        <v>0</v>
      </c>
      <c r="Q428" s="367">
        <v>0</v>
      </c>
      <c r="R428" s="360"/>
      <c r="S428" s="367"/>
      <c r="T428" s="573">
        <f t="shared" si="29"/>
        <v>12357</v>
      </c>
      <c r="U428" s="574">
        <f t="shared" si="30"/>
        <v>13683</v>
      </c>
      <c r="V428" s="365">
        <v>9949</v>
      </c>
      <c r="W428" s="366">
        <v>9867</v>
      </c>
      <c r="X428" s="368">
        <v>0</v>
      </c>
      <c r="Y428" s="367">
        <v>0</v>
      </c>
      <c r="Z428" s="360">
        <v>2408</v>
      </c>
      <c r="AA428" s="365">
        <v>0</v>
      </c>
      <c r="AB428" s="365">
        <v>0</v>
      </c>
      <c r="AC428" s="366">
        <v>3816</v>
      </c>
      <c r="AD428" s="366">
        <v>0</v>
      </c>
      <c r="AE428" s="369">
        <v>0</v>
      </c>
      <c r="AF428" s="360"/>
      <c r="AG428" s="366"/>
    </row>
    <row r="429" spans="1:33">
      <c r="A429" s="406" t="s">
        <v>83</v>
      </c>
      <c r="B429" s="404" t="s">
        <v>432</v>
      </c>
      <c r="C429" s="405"/>
      <c r="D429" s="406">
        <v>228802</v>
      </c>
      <c r="E429" s="376">
        <v>3</v>
      </c>
      <c r="F429" s="571">
        <f t="shared" si="27"/>
        <v>125035</v>
      </c>
      <c r="G429" s="555">
        <f t="shared" si="28"/>
        <v>126526</v>
      </c>
      <c r="H429" s="365">
        <v>112529</v>
      </c>
      <c r="I429" s="366">
        <v>104995</v>
      </c>
      <c r="J429" s="365">
        <v>1643</v>
      </c>
      <c r="K429" s="367">
        <v>1294</v>
      </c>
      <c r="L429" s="360">
        <v>5936</v>
      </c>
      <c r="M429" s="365">
        <v>4927</v>
      </c>
      <c r="N429" s="365">
        <v>0</v>
      </c>
      <c r="O429" s="366">
        <v>15001</v>
      </c>
      <c r="P429" s="366">
        <v>5233</v>
      </c>
      <c r="Q429" s="367">
        <v>3</v>
      </c>
      <c r="R429" s="360"/>
      <c r="S429" s="367"/>
      <c r="T429" s="573">
        <f t="shared" si="29"/>
        <v>19100</v>
      </c>
      <c r="U429" s="574">
        <f t="shared" si="30"/>
        <v>23461</v>
      </c>
      <c r="V429" s="365">
        <v>9974</v>
      </c>
      <c r="W429" s="366">
        <v>9199</v>
      </c>
      <c r="X429" s="368">
        <v>84</v>
      </c>
      <c r="Y429" s="367">
        <v>36</v>
      </c>
      <c r="Z429" s="360">
        <v>8679</v>
      </c>
      <c r="AA429" s="365">
        <v>363</v>
      </c>
      <c r="AB429" s="365">
        <v>0</v>
      </c>
      <c r="AC429" s="366">
        <v>14070</v>
      </c>
      <c r="AD429" s="366">
        <v>126</v>
      </c>
      <c r="AE429" s="369">
        <v>30</v>
      </c>
      <c r="AF429" s="360"/>
      <c r="AG429" s="366"/>
    </row>
    <row r="430" spans="1:33">
      <c r="A430" s="406" t="s">
        <v>83</v>
      </c>
      <c r="B430" s="404" t="s">
        <v>437</v>
      </c>
      <c r="C430" s="431" t="s">
        <v>540</v>
      </c>
      <c r="D430" s="406">
        <v>229018</v>
      </c>
      <c r="E430" s="432">
        <v>3</v>
      </c>
      <c r="F430" s="571">
        <f t="shared" si="27"/>
        <v>74012</v>
      </c>
      <c r="G430" s="555">
        <f t="shared" si="28"/>
        <v>76144</v>
      </c>
      <c r="H430" s="365">
        <v>59299</v>
      </c>
      <c r="I430" s="366">
        <v>58219</v>
      </c>
      <c r="J430" s="365">
        <v>622</v>
      </c>
      <c r="K430" s="367">
        <v>4</v>
      </c>
      <c r="L430" s="360">
        <v>14079</v>
      </c>
      <c r="M430" s="365">
        <v>12</v>
      </c>
      <c r="N430" s="365">
        <v>0</v>
      </c>
      <c r="O430" s="366">
        <v>17918</v>
      </c>
      <c r="P430" s="366">
        <v>3</v>
      </c>
      <c r="Q430" s="367">
        <v>0</v>
      </c>
      <c r="R430" s="360"/>
      <c r="S430" s="367"/>
      <c r="T430" s="573">
        <f t="shared" si="29"/>
        <v>10029</v>
      </c>
      <c r="U430" s="574">
        <f t="shared" si="30"/>
        <v>8911</v>
      </c>
      <c r="V430" s="365">
        <v>5712</v>
      </c>
      <c r="W430" s="366">
        <v>4825</v>
      </c>
      <c r="X430" s="368">
        <v>33</v>
      </c>
      <c r="Y430" s="367">
        <v>0</v>
      </c>
      <c r="Z430" s="360">
        <v>4284</v>
      </c>
      <c r="AA430" s="365">
        <v>0</v>
      </c>
      <c r="AB430" s="365">
        <v>0</v>
      </c>
      <c r="AC430" s="366">
        <v>4086</v>
      </c>
      <c r="AD430" s="366">
        <v>0</v>
      </c>
      <c r="AE430" s="369">
        <v>0</v>
      </c>
      <c r="AF430" s="360"/>
      <c r="AG430" s="366"/>
    </row>
    <row r="431" spans="1:33">
      <c r="A431" s="406" t="s">
        <v>83</v>
      </c>
      <c r="B431" s="404" t="s">
        <v>433</v>
      </c>
      <c r="C431" s="405"/>
      <c r="D431" s="406">
        <v>227368</v>
      </c>
      <c r="E431" s="376">
        <v>3</v>
      </c>
      <c r="F431" s="571">
        <f t="shared" si="27"/>
        <v>432823</v>
      </c>
      <c r="G431" s="555">
        <f t="shared" si="28"/>
        <v>434759</v>
      </c>
      <c r="H431" s="365">
        <v>402907</v>
      </c>
      <c r="I431" s="366">
        <v>394909</v>
      </c>
      <c r="J431" s="365">
        <v>3261</v>
      </c>
      <c r="K431" s="367">
        <v>1473</v>
      </c>
      <c r="L431" s="360">
        <v>26085</v>
      </c>
      <c r="M431" s="365">
        <v>570</v>
      </c>
      <c r="N431" s="365">
        <v>0</v>
      </c>
      <c r="O431" s="366">
        <v>38107</v>
      </c>
      <c r="P431" s="366">
        <v>270</v>
      </c>
      <c r="Q431" s="367">
        <v>0</v>
      </c>
      <c r="R431" s="360"/>
      <c r="S431" s="367"/>
      <c r="T431" s="573">
        <f t="shared" si="29"/>
        <v>43229</v>
      </c>
      <c r="U431" s="574">
        <f t="shared" si="30"/>
        <v>42868</v>
      </c>
      <c r="V431" s="365">
        <v>37173</v>
      </c>
      <c r="W431" s="366">
        <v>32660</v>
      </c>
      <c r="X431" s="368">
        <v>2703</v>
      </c>
      <c r="Y431" s="367">
        <v>2172</v>
      </c>
      <c r="Z431" s="360">
        <v>3353</v>
      </c>
      <c r="AA431" s="365">
        <v>0</v>
      </c>
      <c r="AB431" s="365">
        <v>0</v>
      </c>
      <c r="AC431" s="366">
        <v>7901</v>
      </c>
      <c r="AD431" s="366">
        <v>135</v>
      </c>
      <c r="AE431" s="369">
        <v>0</v>
      </c>
      <c r="AF431" s="360"/>
      <c r="AG431" s="366"/>
    </row>
    <row r="432" spans="1:33">
      <c r="A432" s="406" t="s">
        <v>83</v>
      </c>
      <c r="B432" s="404" t="s">
        <v>434</v>
      </c>
      <c r="C432" s="405"/>
      <c r="D432" s="406">
        <v>229814</v>
      </c>
      <c r="E432" s="376">
        <v>3</v>
      </c>
      <c r="F432" s="571">
        <f t="shared" si="27"/>
        <v>167750</v>
      </c>
      <c r="G432" s="555">
        <f t="shared" si="28"/>
        <v>172603</v>
      </c>
      <c r="H432" s="365">
        <v>135758</v>
      </c>
      <c r="I432" s="366">
        <v>138298</v>
      </c>
      <c r="J432" s="365">
        <v>87</v>
      </c>
      <c r="K432" s="367">
        <v>42</v>
      </c>
      <c r="L432" s="360">
        <v>31905</v>
      </c>
      <c r="M432" s="365">
        <v>0</v>
      </c>
      <c r="N432" s="365">
        <v>0</v>
      </c>
      <c r="O432" s="366">
        <v>34194</v>
      </c>
      <c r="P432" s="366">
        <v>0</v>
      </c>
      <c r="Q432" s="367">
        <v>69</v>
      </c>
      <c r="R432" s="360"/>
      <c r="S432" s="367"/>
      <c r="T432" s="573">
        <f t="shared" si="29"/>
        <v>20269</v>
      </c>
      <c r="U432" s="574">
        <f t="shared" si="30"/>
        <v>20098</v>
      </c>
      <c r="V432" s="365">
        <v>9853</v>
      </c>
      <c r="W432" s="366">
        <v>10145</v>
      </c>
      <c r="X432" s="368">
        <v>252</v>
      </c>
      <c r="Y432" s="367">
        <v>267</v>
      </c>
      <c r="Z432" s="360">
        <v>10164</v>
      </c>
      <c r="AA432" s="365">
        <v>0</v>
      </c>
      <c r="AB432" s="365">
        <v>0</v>
      </c>
      <c r="AC432" s="366">
        <v>9677</v>
      </c>
      <c r="AD432" s="366">
        <v>0</v>
      </c>
      <c r="AE432" s="369">
        <v>9</v>
      </c>
      <c r="AF432" s="360"/>
      <c r="AG432" s="366"/>
    </row>
    <row r="433" spans="1:33">
      <c r="A433" s="406" t="s">
        <v>83</v>
      </c>
      <c r="B433" s="404" t="s">
        <v>435</v>
      </c>
      <c r="C433" s="405"/>
      <c r="D433" s="406">
        <v>224545</v>
      </c>
      <c r="E433" s="376">
        <v>4</v>
      </c>
      <c r="F433" s="571">
        <f t="shared" si="27"/>
        <v>27281</v>
      </c>
      <c r="G433" s="555">
        <f t="shared" si="28"/>
        <v>32905</v>
      </c>
      <c r="H433" s="365">
        <v>16265</v>
      </c>
      <c r="I433" s="366">
        <v>25481</v>
      </c>
      <c r="J433" s="365">
        <v>4086</v>
      </c>
      <c r="K433" s="367">
        <v>2125</v>
      </c>
      <c r="L433" s="360">
        <v>6324</v>
      </c>
      <c r="M433" s="365">
        <v>606</v>
      </c>
      <c r="N433" s="365">
        <v>0</v>
      </c>
      <c r="O433" s="366">
        <v>5167</v>
      </c>
      <c r="P433" s="366">
        <v>132</v>
      </c>
      <c r="Q433" s="367">
        <v>0</v>
      </c>
      <c r="R433" s="360"/>
      <c r="S433" s="367"/>
      <c r="T433" s="573">
        <f t="shared" si="29"/>
        <v>9721</v>
      </c>
      <c r="U433" s="574">
        <f t="shared" si="30"/>
        <v>7605</v>
      </c>
      <c r="V433" s="365">
        <v>5089</v>
      </c>
      <c r="W433" s="366">
        <v>4890</v>
      </c>
      <c r="X433" s="368">
        <v>1590</v>
      </c>
      <c r="Y433" s="367">
        <v>513</v>
      </c>
      <c r="Z433" s="360">
        <v>3042</v>
      </c>
      <c r="AA433" s="365">
        <v>0</v>
      </c>
      <c r="AB433" s="365">
        <v>0</v>
      </c>
      <c r="AC433" s="366">
        <v>2202</v>
      </c>
      <c r="AD433" s="366">
        <v>0</v>
      </c>
      <c r="AE433" s="369">
        <v>0</v>
      </c>
      <c r="AF433" s="360"/>
      <c r="AG433" s="366"/>
    </row>
    <row r="434" spans="1:33">
      <c r="A434" s="406" t="s">
        <v>83</v>
      </c>
      <c r="B434" s="404" t="s">
        <v>436</v>
      </c>
      <c r="C434" s="405"/>
      <c r="D434" s="406">
        <v>225502</v>
      </c>
      <c r="E434" s="379">
        <v>4</v>
      </c>
      <c r="F434" s="571">
        <f t="shared" si="27"/>
        <v>49683</v>
      </c>
      <c r="G434" s="555">
        <f t="shared" si="28"/>
        <v>58096</v>
      </c>
      <c r="H434" s="365">
        <v>6829</v>
      </c>
      <c r="I434" s="366">
        <v>10405</v>
      </c>
      <c r="J434" s="365">
        <v>7859</v>
      </c>
      <c r="K434" s="367">
        <v>8919</v>
      </c>
      <c r="L434" s="360">
        <v>30849</v>
      </c>
      <c r="M434" s="365">
        <v>1379</v>
      </c>
      <c r="N434" s="365">
        <v>2767</v>
      </c>
      <c r="O434" s="366">
        <v>34998</v>
      </c>
      <c r="P434" s="366">
        <v>3774</v>
      </c>
      <c r="Q434" s="367">
        <v>0</v>
      </c>
      <c r="R434" s="360"/>
      <c r="S434" s="367"/>
      <c r="T434" s="573">
        <f t="shared" si="29"/>
        <v>27186</v>
      </c>
      <c r="U434" s="574">
        <f t="shared" si="30"/>
        <v>27234</v>
      </c>
      <c r="V434" s="365">
        <v>981</v>
      </c>
      <c r="W434" s="366">
        <v>771</v>
      </c>
      <c r="X434" s="368">
        <v>5853</v>
      </c>
      <c r="Y434" s="367">
        <v>4866</v>
      </c>
      <c r="Z434" s="360">
        <v>18906</v>
      </c>
      <c r="AA434" s="365">
        <v>789</v>
      </c>
      <c r="AB434" s="365">
        <v>657</v>
      </c>
      <c r="AC434" s="366">
        <v>20265</v>
      </c>
      <c r="AD434" s="366">
        <v>1332</v>
      </c>
      <c r="AE434" s="369">
        <v>0</v>
      </c>
      <c r="AF434" s="360"/>
      <c r="AG434" s="366"/>
    </row>
    <row r="435" spans="1:33">
      <c r="A435" s="406" t="s">
        <v>83</v>
      </c>
      <c r="B435" s="404" t="s">
        <v>438</v>
      </c>
      <c r="C435" s="405"/>
      <c r="D435" s="406" t="s">
        <v>439</v>
      </c>
      <c r="E435" s="376">
        <v>5</v>
      </c>
      <c r="F435" s="571">
        <f t="shared" si="27"/>
        <v>17595</v>
      </c>
      <c r="G435" s="555">
        <f t="shared" si="28"/>
        <v>16859</v>
      </c>
      <c r="H435" s="365">
        <v>8539</v>
      </c>
      <c r="I435" s="366">
        <v>6932</v>
      </c>
      <c r="J435" s="365">
        <v>0</v>
      </c>
      <c r="K435" s="367">
        <v>0</v>
      </c>
      <c r="L435" s="360">
        <v>4253</v>
      </c>
      <c r="M435" s="365">
        <v>4803</v>
      </c>
      <c r="N435" s="365">
        <v>0</v>
      </c>
      <c r="O435" s="366">
        <v>5200</v>
      </c>
      <c r="P435" s="366">
        <v>4727</v>
      </c>
      <c r="Q435" s="367">
        <v>0</v>
      </c>
      <c r="R435" s="360"/>
      <c r="S435" s="367"/>
      <c r="T435" s="573">
        <f t="shared" si="29"/>
        <v>3612</v>
      </c>
      <c r="U435" s="574">
        <f t="shared" si="30"/>
        <v>3276</v>
      </c>
      <c r="V435" s="365">
        <v>2052</v>
      </c>
      <c r="W435" s="366">
        <v>2025</v>
      </c>
      <c r="X435" s="368">
        <v>0</v>
      </c>
      <c r="Y435" s="367">
        <v>0</v>
      </c>
      <c r="Z435" s="360">
        <v>1161</v>
      </c>
      <c r="AA435" s="365">
        <v>399</v>
      </c>
      <c r="AB435" s="365">
        <v>0</v>
      </c>
      <c r="AC435" s="366">
        <v>969</v>
      </c>
      <c r="AD435" s="366">
        <v>282</v>
      </c>
      <c r="AE435" s="369">
        <v>0</v>
      </c>
      <c r="AF435" s="360"/>
      <c r="AG435" s="366"/>
    </row>
    <row r="436" spans="1:33">
      <c r="A436" s="406" t="s">
        <v>83</v>
      </c>
      <c r="B436" s="404" t="s">
        <v>440</v>
      </c>
      <c r="C436" s="405"/>
      <c r="D436" s="406">
        <v>225432</v>
      </c>
      <c r="E436" s="376">
        <v>5</v>
      </c>
      <c r="F436" s="571">
        <f t="shared" si="27"/>
        <v>264140</v>
      </c>
      <c r="G436" s="555">
        <f t="shared" si="28"/>
        <v>268037</v>
      </c>
      <c r="H436" s="365">
        <v>211159</v>
      </c>
      <c r="I436" s="366">
        <v>191758</v>
      </c>
      <c r="J436" s="365">
        <v>12808</v>
      </c>
      <c r="K436" s="367">
        <v>11562</v>
      </c>
      <c r="L436" s="360">
        <v>39399</v>
      </c>
      <c r="M436" s="365">
        <v>774</v>
      </c>
      <c r="N436" s="365">
        <v>0</v>
      </c>
      <c r="O436" s="366">
        <v>64682</v>
      </c>
      <c r="P436" s="366">
        <v>35</v>
      </c>
      <c r="Q436" s="367">
        <v>0</v>
      </c>
      <c r="R436" s="360"/>
      <c r="S436" s="367"/>
      <c r="T436" s="573">
        <f t="shared" si="29"/>
        <v>2013</v>
      </c>
      <c r="U436" s="574">
        <f t="shared" si="30"/>
        <v>2169</v>
      </c>
      <c r="V436" s="365">
        <v>1911</v>
      </c>
      <c r="W436" s="366">
        <v>1464</v>
      </c>
      <c r="X436" s="368">
        <v>30</v>
      </c>
      <c r="Y436" s="367">
        <v>36</v>
      </c>
      <c r="Z436" s="360">
        <v>72</v>
      </c>
      <c r="AA436" s="365">
        <v>0</v>
      </c>
      <c r="AB436" s="365">
        <v>0</v>
      </c>
      <c r="AC436" s="366">
        <v>669</v>
      </c>
      <c r="AD436" s="366">
        <v>0</v>
      </c>
      <c r="AE436" s="369">
        <v>0</v>
      </c>
      <c r="AF436" s="360"/>
      <c r="AG436" s="366"/>
    </row>
    <row r="437" spans="1:33">
      <c r="A437" s="406" t="s">
        <v>83</v>
      </c>
      <c r="B437" s="404" t="s">
        <v>441</v>
      </c>
      <c r="C437" s="405"/>
      <c r="D437" s="406">
        <v>228714</v>
      </c>
      <c r="E437" s="376">
        <v>6</v>
      </c>
      <c r="F437" s="571">
        <f t="shared" si="27"/>
        <v>49481</v>
      </c>
      <c r="G437" s="555">
        <f t="shared" si="28"/>
        <v>54166</v>
      </c>
      <c r="H437" s="365">
        <v>49475</v>
      </c>
      <c r="I437" s="366">
        <v>54166</v>
      </c>
      <c r="J437" s="365">
        <v>0</v>
      </c>
      <c r="K437" s="367">
        <v>0</v>
      </c>
      <c r="L437" s="360">
        <v>6</v>
      </c>
      <c r="M437" s="365">
        <v>0</v>
      </c>
      <c r="N437" s="365">
        <v>0</v>
      </c>
      <c r="O437" s="366">
        <v>0</v>
      </c>
      <c r="P437" s="366">
        <v>0</v>
      </c>
      <c r="Q437" s="367">
        <v>0</v>
      </c>
      <c r="R437" s="360"/>
      <c r="S437" s="367"/>
      <c r="T437" s="573">
        <f t="shared" si="29"/>
        <v>996</v>
      </c>
      <c r="U437" s="574">
        <f t="shared" si="30"/>
        <v>1211</v>
      </c>
      <c r="V437" s="365">
        <v>921</v>
      </c>
      <c r="W437" s="366">
        <v>1114</v>
      </c>
      <c r="X437" s="368">
        <v>12</v>
      </c>
      <c r="Y437" s="367">
        <v>0</v>
      </c>
      <c r="Z437" s="360">
        <v>42</v>
      </c>
      <c r="AA437" s="365">
        <v>0</v>
      </c>
      <c r="AB437" s="365">
        <v>21</v>
      </c>
      <c r="AC437" s="366">
        <v>97</v>
      </c>
      <c r="AD437" s="366">
        <v>0</v>
      </c>
      <c r="AE437" s="369">
        <v>0</v>
      </c>
      <c r="AF437" s="360"/>
      <c r="AG437" s="366"/>
    </row>
    <row r="438" spans="1:33">
      <c r="A438" s="406" t="s">
        <v>83</v>
      </c>
      <c r="B438" s="416" t="s">
        <v>442</v>
      </c>
      <c r="C438" s="417"/>
      <c r="D438" s="406">
        <v>223506</v>
      </c>
      <c r="E438" s="379">
        <v>7</v>
      </c>
      <c r="F438" s="571">
        <f t="shared" si="27"/>
        <v>78728</v>
      </c>
      <c r="G438" s="555">
        <f t="shared" si="28"/>
        <v>81798</v>
      </c>
      <c r="H438" s="365">
        <v>62683</v>
      </c>
      <c r="I438" s="366">
        <v>62991</v>
      </c>
      <c r="J438" s="365">
        <v>4942</v>
      </c>
      <c r="K438" s="367">
        <v>5424</v>
      </c>
      <c r="L438" s="360">
        <v>11103</v>
      </c>
      <c r="M438" s="365">
        <v>0</v>
      </c>
      <c r="N438" s="365">
        <v>0</v>
      </c>
      <c r="O438" s="366">
        <v>13383</v>
      </c>
      <c r="P438" s="366">
        <v>0</v>
      </c>
      <c r="Q438" s="367">
        <v>0</v>
      </c>
      <c r="R438" s="360"/>
      <c r="S438" s="367"/>
      <c r="T438" s="573">
        <f t="shared" si="29"/>
        <v>0</v>
      </c>
      <c r="U438" s="574">
        <f t="shared" si="30"/>
        <v>0</v>
      </c>
      <c r="V438" s="365"/>
      <c r="W438" s="366"/>
      <c r="X438" s="368"/>
      <c r="Y438" s="367"/>
      <c r="Z438" s="360"/>
      <c r="AA438" s="365"/>
      <c r="AB438" s="365"/>
      <c r="AC438" s="366"/>
      <c r="AD438" s="366"/>
      <c r="AE438" s="369"/>
      <c r="AF438" s="360"/>
      <c r="AG438" s="366"/>
    </row>
    <row r="439" spans="1:33">
      <c r="A439" s="406" t="s">
        <v>83</v>
      </c>
      <c r="B439" s="416" t="s">
        <v>443</v>
      </c>
      <c r="C439" s="417"/>
      <c r="D439" s="406">
        <v>226806</v>
      </c>
      <c r="E439" s="379">
        <v>7</v>
      </c>
      <c r="F439" s="571">
        <f t="shared" si="27"/>
        <v>125438</v>
      </c>
      <c r="G439" s="555">
        <f t="shared" si="28"/>
        <v>123616</v>
      </c>
      <c r="H439" s="365">
        <v>81111</v>
      </c>
      <c r="I439" s="366">
        <v>75043</v>
      </c>
      <c r="J439" s="365">
        <v>2678</v>
      </c>
      <c r="K439" s="367">
        <v>2884</v>
      </c>
      <c r="L439" s="360">
        <v>40355</v>
      </c>
      <c r="M439" s="365">
        <v>1294</v>
      </c>
      <c r="N439" s="365">
        <v>0</v>
      </c>
      <c r="O439" s="366">
        <v>44600</v>
      </c>
      <c r="P439" s="366">
        <v>1089</v>
      </c>
      <c r="Q439" s="367">
        <v>0</v>
      </c>
      <c r="R439" s="360"/>
      <c r="S439" s="367"/>
      <c r="T439" s="573">
        <f t="shared" si="29"/>
        <v>0</v>
      </c>
      <c r="U439" s="574">
        <f t="shared" si="30"/>
        <v>0</v>
      </c>
      <c r="V439" s="365"/>
      <c r="W439" s="366"/>
      <c r="X439" s="368"/>
      <c r="Y439" s="367"/>
      <c r="Z439" s="360"/>
      <c r="AA439" s="365"/>
      <c r="AB439" s="365"/>
      <c r="AC439" s="366"/>
      <c r="AD439" s="366"/>
      <c r="AE439" s="369"/>
      <c r="AF439" s="360"/>
      <c r="AG439" s="366"/>
    </row>
    <row r="440" spans="1:33">
      <c r="A440" s="406" t="s">
        <v>83</v>
      </c>
      <c r="B440" s="416" t="s">
        <v>444</v>
      </c>
      <c r="C440" s="417"/>
      <c r="D440" s="418">
        <v>409315</v>
      </c>
      <c r="E440" s="419">
        <v>7</v>
      </c>
      <c r="F440" s="571">
        <f t="shared" si="27"/>
        <v>543940</v>
      </c>
      <c r="G440" s="555">
        <f t="shared" si="28"/>
        <v>562427</v>
      </c>
      <c r="H440" s="365">
        <v>467854</v>
      </c>
      <c r="I440" s="366">
        <v>473169</v>
      </c>
      <c r="J440" s="365">
        <v>0</v>
      </c>
      <c r="K440" s="367">
        <v>0</v>
      </c>
      <c r="L440" s="360">
        <v>75897</v>
      </c>
      <c r="M440" s="365">
        <v>0</v>
      </c>
      <c r="N440" s="365">
        <v>189</v>
      </c>
      <c r="O440" s="366">
        <v>89183</v>
      </c>
      <c r="P440" s="366">
        <v>0</v>
      </c>
      <c r="Q440" s="367">
        <v>75</v>
      </c>
      <c r="R440" s="360"/>
      <c r="S440" s="367"/>
      <c r="T440" s="573">
        <f t="shared" si="29"/>
        <v>0</v>
      </c>
      <c r="U440" s="574">
        <f t="shared" si="30"/>
        <v>0</v>
      </c>
      <c r="V440" s="365"/>
      <c r="W440" s="366"/>
      <c r="X440" s="368"/>
      <c r="Y440" s="367"/>
      <c r="Z440" s="360"/>
      <c r="AA440" s="365"/>
      <c r="AB440" s="365"/>
      <c r="AC440" s="366"/>
      <c r="AD440" s="366"/>
      <c r="AE440" s="369"/>
      <c r="AF440" s="360"/>
      <c r="AG440" s="366"/>
    </row>
    <row r="441" spans="1:33">
      <c r="A441" s="406" t="s">
        <v>83</v>
      </c>
      <c r="B441" s="404" t="s">
        <v>445</v>
      </c>
      <c r="C441" s="405"/>
      <c r="D441" s="406">
        <v>222576</v>
      </c>
      <c r="E441" s="376">
        <v>8</v>
      </c>
      <c r="F441" s="571">
        <f t="shared" si="27"/>
        <v>213375</v>
      </c>
      <c r="G441" s="555">
        <f t="shared" si="28"/>
        <v>211780</v>
      </c>
      <c r="H441" s="365">
        <v>145744</v>
      </c>
      <c r="I441" s="366">
        <v>143649</v>
      </c>
      <c r="J441" s="365">
        <v>7229</v>
      </c>
      <c r="K441" s="367">
        <v>5704</v>
      </c>
      <c r="L441" s="360">
        <v>51591</v>
      </c>
      <c r="M441" s="365">
        <v>390</v>
      </c>
      <c r="N441" s="365">
        <v>8421</v>
      </c>
      <c r="O441" s="366">
        <v>56814</v>
      </c>
      <c r="P441" s="366">
        <v>141</v>
      </c>
      <c r="Q441" s="367">
        <v>5472</v>
      </c>
      <c r="R441" s="360"/>
      <c r="S441" s="367"/>
      <c r="T441" s="573">
        <f t="shared" si="29"/>
        <v>0</v>
      </c>
      <c r="U441" s="574">
        <f t="shared" si="30"/>
        <v>0</v>
      </c>
      <c r="V441" s="365"/>
      <c r="W441" s="366"/>
      <c r="X441" s="368"/>
      <c r="Y441" s="367"/>
      <c r="Z441" s="360"/>
      <c r="AA441" s="365"/>
      <c r="AB441" s="365"/>
      <c r="AC441" s="366"/>
      <c r="AD441" s="366"/>
      <c r="AE441" s="369"/>
      <c r="AF441" s="360"/>
      <c r="AG441" s="366"/>
    </row>
    <row r="442" spans="1:33">
      <c r="A442" s="406" t="s">
        <v>83</v>
      </c>
      <c r="B442" s="404" t="s">
        <v>446</v>
      </c>
      <c r="C442" s="405"/>
      <c r="D442" s="406">
        <v>222992</v>
      </c>
      <c r="E442" s="376">
        <v>8</v>
      </c>
      <c r="F442" s="571">
        <f t="shared" si="27"/>
        <v>816462</v>
      </c>
      <c r="G442" s="555">
        <f t="shared" si="28"/>
        <v>835864</v>
      </c>
      <c r="H442" s="365">
        <v>680276</v>
      </c>
      <c r="I442" s="366">
        <v>781722</v>
      </c>
      <c r="J442" s="365">
        <v>48752</v>
      </c>
      <c r="K442" s="367">
        <v>44284</v>
      </c>
      <c r="L442" s="360">
        <v>84116</v>
      </c>
      <c r="M442" s="365">
        <v>0</v>
      </c>
      <c r="N442" s="365">
        <v>3318</v>
      </c>
      <c r="O442" s="366">
        <v>6567</v>
      </c>
      <c r="P442" s="366">
        <v>0</v>
      </c>
      <c r="Q442" s="367">
        <v>3291</v>
      </c>
      <c r="R442" s="360"/>
      <c r="S442" s="367"/>
      <c r="T442" s="573">
        <f t="shared" si="29"/>
        <v>0</v>
      </c>
      <c r="U442" s="574">
        <f t="shared" si="30"/>
        <v>0</v>
      </c>
      <c r="V442" s="365"/>
      <c r="W442" s="366"/>
      <c r="X442" s="368"/>
      <c r="Y442" s="367"/>
      <c r="Z442" s="360"/>
      <c r="AA442" s="365"/>
      <c r="AB442" s="365"/>
      <c r="AC442" s="366"/>
      <c r="AD442" s="366"/>
      <c r="AE442" s="369"/>
      <c r="AF442" s="360"/>
      <c r="AG442" s="366"/>
    </row>
    <row r="443" spans="1:33">
      <c r="A443" s="406" t="s">
        <v>83</v>
      </c>
      <c r="B443" s="404" t="s">
        <v>447</v>
      </c>
      <c r="C443" s="405"/>
      <c r="D443" s="406">
        <v>223427</v>
      </c>
      <c r="E443" s="376">
        <v>8</v>
      </c>
      <c r="F443" s="571">
        <f t="shared" si="27"/>
        <v>389577</v>
      </c>
      <c r="G443" s="555">
        <f t="shared" si="28"/>
        <v>396118</v>
      </c>
      <c r="H443" s="365">
        <v>59797</v>
      </c>
      <c r="I443" s="366">
        <v>196698</v>
      </c>
      <c r="J443" s="365">
        <v>273747</v>
      </c>
      <c r="K443" s="367">
        <v>162216</v>
      </c>
      <c r="L443" s="360">
        <v>56033</v>
      </c>
      <c r="M443" s="365">
        <v>0</v>
      </c>
      <c r="N443" s="365">
        <v>0</v>
      </c>
      <c r="O443" s="366">
        <v>37204</v>
      </c>
      <c r="P443" s="366">
        <v>0</v>
      </c>
      <c r="Q443" s="367">
        <v>0</v>
      </c>
      <c r="R443" s="360"/>
      <c r="S443" s="367"/>
      <c r="T443" s="573">
        <f t="shared" si="29"/>
        <v>0</v>
      </c>
      <c r="U443" s="574">
        <f t="shared" si="30"/>
        <v>0</v>
      </c>
      <c r="V443" s="365"/>
      <c r="W443" s="366"/>
      <c r="X443" s="368"/>
      <c r="Y443" s="367"/>
      <c r="Z443" s="360"/>
      <c r="AA443" s="365"/>
      <c r="AB443" s="365"/>
      <c r="AC443" s="366"/>
      <c r="AD443" s="366"/>
      <c r="AE443" s="369"/>
      <c r="AF443" s="360"/>
      <c r="AG443" s="366"/>
    </row>
    <row r="444" spans="1:33">
      <c r="A444" s="406" t="s">
        <v>83</v>
      </c>
      <c r="B444" s="404" t="s">
        <v>448</v>
      </c>
      <c r="C444" s="405"/>
      <c r="D444" s="406">
        <v>223524</v>
      </c>
      <c r="E444" s="376">
        <v>8</v>
      </c>
      <c r="F444" s="571">
        <f t="shared" si="27"/>
        <v>216050</v>
      </c>
      <c r="G444" s="555">
        <f t="shared" si="28"/>
        <v>215235</v>
      </c>
      <c r="H444" s="365">
        <v>161260</v>
      </c>
      <c r="I444" s="366">
        <v>156792</v>
      </c>
      <c r="J444" s="365">
        <v>0</v>
      </c>
      <c r="K444" s="367">
        <v>0</v>
      </c>
      <c r="L444" s="360">
        <v>54564</v>
      </c>
      <c r="M444" s="365">
        <v>0</v>
      </c>
      <c r="N444" s="365">
        <v>226</v>
      </c>
      <c r="O444" s="366">
        <v>58254</v>
      </c>
      <c r="P444" s="366">
        <v>0</v>
      </c>
      <c r="Q444" s="367">
        <v>189</v>
      </c>
      <c r="R444" s="360"/>
      <c r="S444" s="367"/>
      <c r="T444" s="573">
        <f t="shared" si="29"/>
        <v>0</v>
      </c>
      <c r="U444" s="574">
        <f t="shared" si="30"/>
        <v>0</v>
      </c>
      <c r="V444" s="365"/>
      <c r="W444" s="366"/>
      <c r="X444" s="368"/>
      <c r="Y444" s="367"/>
      <c r="Z444" s="360"/>
      <c r="AA444" s="365"/>
      <c r="AB444" s="365"/>
      <c r="AC444" s="366"/>
      <c r="AD444" s="366"/>
      <c r="AE444" s="369"/>
      <c r="AF444" s="360"/>
      <c r="AG444" s="366"/>
    </row>
    <row r="445" spans="1:33">
      <c r="A445" s="406" t="s">
        <v>83</v>
      </c>
      <c r="B445" s="404" t="s">
        <v>449</v>
      </c>
      <c r="C445" s="405"/>
      <c r="D445" s="406">
        <v>223816</v>
      </c>
      <c r="E445" s="376">
        <v>8</v>
      </c>
      <c r="F445" s="571">
        <f t="shared" si="27"/>
        <v>311862</v>
      </c>
      <c r="G445" s="555">
        <f t="shared" si="28"/>
        <v>320494</v>
      </c>
      <c r="H445" s="365">
        <v>114054</v>
      </c>
      <c r="I445" s="366">
        <v>113758</v>
      </c>
      <c r="J445" s="365">
        <v>71851</v>
      </c>
      <c r="K445" s="367">
        <v>65167</v>
      </c>
      <c r="L445" s="360">
        <v>121892</v>
      </c>
      <c r="M445" s="365">
        <v>1117</v>
      </c>
      <c r="N445" s="365">
        <v>2948</v>
      </c>
      <c r="O445" s="366">
        <v>132464</v>
      </c>
      <c r="P445" s="366">
        <v>900</v>
      </c>
      <c r="Q445" s="367">
        <v>8205</v>
      </c>
      <c r="R445" s="360"/>
      <c r="S445" s="367"/>
      <c r="T445" s="573">
        <f t="shared" si="29"/>
        <v>0</v>
      </c>
      <c r="U445" s="574">
        <f t="shared" si="30"/>
        <v>0</v>
      </c>
      <c r="V445" s="365"/>
      <c r="W445" s="366"/>
      <c r="X445" s="368"/>
      <c r="Y445" s="367"/>
      <c r="Z445" s="360"/>
      <c r="AA445" s="365"/>
      <c r="AB445" s="365"/>
      <c r="AC445" s="366"/>
      <c r="AD445" s="366"/>
      <c r="AE445" s="369"/>
      <c r="AF445" s="360"/>
      <c r="AG445" s="366"/>
    </row>
    <row r="446" spans="1:33">
      <c r="A446" s="406" t="s">
        <v>83</v>
      </c>
      <c r="B446" s="404" t="s">
        <v>450</v>
      </c>
      <c r="C446" s="405"/>
      <c r="D446" s="406">
        <v>247834</v>
      </c>
      <c r="E446" s="376">
        <v>8</v>
      </c>
      <c r="F446" s="571">
        <f t="shared" si="27"/>
        <v>528290</v>
      </c>
      <c r="G446" s="555">
        <f t="shared" si="28"/>
        <v>537272</v>
      </c>
      <c r="H446" s="365">
        <v>461806</v>
      </c>
      <c r="I446" s="366">
        <v>463367</v>
      </c>
      <c r="J446" s="365">
        <v>3666</v>
      </c>
      <c r="K446" s="367">
        <v>8126</v>
      </c>
      <c r="L446" s="360">
        <v>61619</v>
      </c>
      <c r="M446" s="365">
        <v>0</v>
      </c>
      <c r="N446" s="365">
        <v>1199</v>
      </c>
      <c r="O446" s="366">
        <v>62020</v>
      </c>
      <c r="P446" s="366">
        <v>0</v>
      </c>
      <c r="Q446" s="367">
        <v>3759</v>
      </c>
      <c r="R446" s="360"/>
      <c r="S446" s="367"/>
      <c r="T446" s="573">
        <f t="shared" si="29"/>
        <v>0</v>
      </c>
      <c r="U446" s="574">
        <f t="shared" si="30"/>
        <v>0</v>
      </c>
      <c r="V446" s="365"/>
      <c r="W446" s="366"/>
      <c r="X446" s="368"/>
      <c r="Y446" s="367"/>
      <c r="Z446" s="360"/>
      <c r="AA446" s="365"/>
      <c r="AB446" s="365"/>
      <c r="AC446" s="366"/>
      <c r="AD446" s="366"/>
      <c r="AE446" s="369"/>
      <c r="AF446" s="360"/>
      <c r="AG446" s="366"/>
    </row>
    <row r="447" spans="1:33">
      <c r="A447" s="406" t="s">
        <v>83</v>
      </c>
      <c r="B447" s="404" t="s">
        <v>451</v>
      </c>
      <c r="C447" s="405"/>
      <c r="D447" s="406">
        <v>224350</v>
      </c>
      <c r="E447" s="376">
        <v>8</v>
      </c>
      <c r="F447" s="571">
        <f t="shared" si="27"/>
        <v>235688</v>
      </c>
      <c r="G447" s="555">
        <f t="shared" si="28"/>
        <v>230905</v>
      </c>
      <c r="H447" s="365">
        <v>211095</v>
      </c>
      <c r="I447" s="366">
        <v>206100</v>
      </c>
      <c r="J447" s="365">
        <v>2151</v>
      </c>
      <c r="K447" s="367">
        <v>4084</v>
      </c>
      <c r="L447" s="360">
        <v>22442</v>
      </c>
      <c r="M447" s="365">
        <v>0</v>
      </c>
      <c r="N447" s="365">
        <v>0</v>
      </c>
      <c r="O447" s="366">
        <v>20721</v>
      </c>
      <c r="P447" s="366">
        <v>0</v>
      </c>
      <c r="Q447" s="367">
        <v>0</v>
      </c>
      <c r="R447" s="360"/>
      <c r="S447" s="367"/>
      <c r="T447" s="573">
        <f t="shared" si="29"/>
        <v>0</v>
      </c>
      <c r="U447" s="574">
        <f t="shared" si="30"/>
        <v>0</v>
      </c>
      <c r="V447" s="365"/>
      <c r="W447" s="366"/>
      <c r="X447" s="368"/>
      <c r="Y447" s="367"/>
      <c r="Z447" s="360"/>
      <c r="AA447" s="365"/>
      <c r="AB447" s="365"/>
      <c r="AC447" s="366"/>
      <c r="AD447" s="366"/>
      <c r="AE447" s="369"/>
      <c r="AF447" s="360"/>
      <c r="AG447" s="366"/>
    </row>
    <row r="448" spans="1:33">
      <c r="A448" s="406" t="s">
        <v>83</v>
      </c>
      <c r="B448" s="404" t="s">
        <v>452</v>
      </c>
      <c r="C448" s="405"/>
      <c r="D448" s="406">
        <v>224572</v>
      </c>
      <c r="E448" s="376">
        <v>8</v>
      </c>
      <c r="F448" s="571">
        <f t="shared" si="27"/>
        <v>224080</v>
      </c>
      <c r="G448" s="555">
        <f t="shared" si="28"/>
        <v>240809</v>
      </c>
      <c r="H448" s="365">
        <v>171023</v>
      </c>
      <c r="I448" s="366">
        <v>174704</v>
      </c>
      <c r="J448" s="365">
        <v>0</v>
      </c>
      <c r="K448" s="367">
        <v>0</v>
      </c>
      <c r="L448" s="360">
        <v>52613</v>
      </c>
      <c r="M448" s="365">
        <v>0</v>
      </c>
      <c r="N448" s="365">
        <v>444</v>
      </c>
      <c r="O448" s="366">
        <v>65714</v>
      </c>
      <c r="P448" s="366">
        <v>0</v>
      </c>
      <c r="Q448" s="367">
        <v>391</v>
      </c>
      <c r="R448" s="360"/>
      <c r="S448" s="367"/>
      <c r="T448" s="573">
        <f t="shared" si="29"/>
        <v>0</v>
      </c>
      <c r="U448" s="574">
        <f t="shared" si="30"/>
        <v>0</v>
      </c>
      <c r="V448" s="365"/>
      <c r="W448" s="366"/>
      <c r="X448" s="368"/>
      <c r="Y448" s="367"/>
      <c r="Z448" s="360"/>
      <c r="AA448" s="365"/>
      <c r="AB448" s="365"/>
      <c r="AC448" s="366"/>
      <c r="AD448" s="366"/>
      <c r="AE448" s="369"/>
      <c r="AF448" s="360"/>
      <c r="AG448" s="366"/>
    </row>
    <row r="449" spans="1:33">
      <c r="A449" s="406" t="s">
        <v>83</v>
      </c>
      <c r="B449" s="416" t="s">
        <v>453</v>
      </c>
      <c r="C449" s="417"/>
      <c r="D449" s="406">
        <v>224615</v>
      </c>
      <c r="E449" s="415">
        <v>8</v>
      </c>
      <c r="F449" s="571">
        <f t="shared" si="27"/>
        <v>171269</v>
      </c>
      <c r="G449" s="555">
        <f t="shared" si="28"/>
        <v>189982</v>
      </c>
      <c r="H449" s="365">
        <v>131698</v>
      </c>
      <c r="I449" s="366">
        <v>143386</v>
      </c>
      <c r="J449" s="365">
        <v>0</v>
      </c>
      <c r="K449" s="367">
        <v>396</v>
      </c>
      <c r="L449" s="360">
        <v>39280</v>
      </c>
      <c r="M449" s="365">
        <v>0</v>
      </c>
      <c r="N449" s="365">
        <v>291</v>
      </c>
      <c r="O449" s="366">
        <v>45993</v>
      </c>
      <c r="P449" s="366">
        <v>0</v>
      </c>
      <c r="Q449" s="367">
        <v>207</v>
      </c>
      <c r="R449" s="360"/>
      <c r="S449" s="367"/>
      <c r="T449" s="573">
        <f t="shared" si="29"/>
        <v>0</v>
      </c>
      <c r="U449" s="574">
        <f t="shared" si="30"/>
        <v>0</v>
      </c>
      <c r="V449" s="365"/>
      <c r="W449" s="366"/>
      <c r="X449" s="368"/>
      <c r="Y449" s="367"/>
      <c r="Z449" s="360"/>
      <c r="AA449" s="365"/>
      <c r="AB449" s="365"/>
      <c r="AC449" s="366"/>
      <c r="AD449" s="366"/>
      <c r="AE449" s="369"/>
      <c r="AF449" s="360"/>
      <c r="AG449" s="366"/>
    </row>
    <row r="450" spans="1:33">
      <c r="A450" s="406" t="s">
        <v>83</v>
      </c>
      <c r="B450" s="404" t="s">
        <v>454</v>
      </c>
      <c r="C450" s="405"/>
      <c r="D450" s="406">
        <v>224642</v>
      </c>
      <c r="E450" s="376">
        <v>8</v>
      </c>
      <c r="F450" s="571">
        <f t="shared" si="27"/>
        <v>562559</v>
      </c>
      <c r="G450" s="555">
        <f t="shared" si="28"/>
        <v>582326</v>
      </c>
      <c r="H450" s="365">
        <v>519506</v>
      </c>
      <c r="I450" s="366">
        <v>532206</v>
      </c>
      <c r="J450" s="365">
        <v>0</v>
      </c>
      <c r="K450" s="367">
        <v>756</v>
      </c>
      <c r="L450" s="360">
        <v>39987</v>
      </c>
      <c r="M450" s="365">
        <v>669</v>
      </c>
      <c r="N450" s="365">
        <v>2397</v>
      </c>
      <c r="O450" s="366">
        <v>47699</v>
      </c>
      <c r="P450" s="366">
        <v>609</v>
      </c>
      <c r="Q450" s="367">
        <v>1056</v>
      </c>
      <c r="R450" s="360"/>
      <c r="S450" s="367"/>
      <c r="T450" s="573">
        <f t="shared" si="29"/>
        <v>0</v>
      </c>
      <c r="U450" s="574">
        <f t="shared" si="30"/>
        <v>0</v>
      </c>
      <c r="V450" s="365"/>
      <c r="W450" s="366"/>
      <c r="X450" s="368"/>
      <c r="Y450" s="367"/>
      <c r="Z450" s="360"/>
      <c r="AA450" s="365"/>
      <c r="AB450" s="365"/>
      <c r="AC450" s="366"/>
      <c r="AD450" s="366"/>
      <c r="AE450" s="369"/>
      <c r="AF450" s="360"/>
      <c r="AG450" s="366"/>
    </row>
    <row r="451" spans="1:33">
      <c r="A451" s="406" t="s">
        <v>83</v>
      </c>
      <c r="B451" s="404" t="s">
        <v>455</v>
      </c>
      <c r="C451" s="405"/>
      <c r="D451" s="406">
        <v>225423</v>
      </c>
      <c r="E451" s="376">
        <v>8</v>
      </c>
      <c r="F451" s="571">
        <f t="shared" si="27"/>
        <v>1158629</v>
      </c>
      <c r="G451" s="555">
        <f t="shared" si="28"/>
        <v>1183888</v>
      </c>
      <c r="H451" s="365">
        <v>730109</v>
      </c>
      <c r="I451" s="366">
        <v>719731</v>
      </c>
      <c r="J451" s="365">
        <v>208557</v>
      </c>
      <c r="K451" s="367">
        <v>210567</v>
      </c>
      <c r="L451" s="360">
        <v>219483</v>
      </c>
      <c r="M451" s="365">
        <v>0</v>
      </c>
      <c r="N451" s="365">
        <v>480</v>
      </c>
      <c r="O451" s="366">
        <v>253166</v>
      </c>
      <c r="P451" s="366">
        <v>0</v>
      </c>
      <c r="Q451" s="367">
        <v>424</v>
      </c>
      <c r="R451" s="360"/>
      <c r="S451" s="367"/>
      <c r="T451" s="573">
        <f t="shared" si="29"/>
        <v>0</v>
      </c>
      <c r="U451" s="574">
        <f t="shared" si="30"/>
        <v>0</v>
      </c>
      <c r="V451" s="365"/>
      <c r="W451" s="366"/>
      <c r="X451" s="368"/>
      <c r="Y451" s="367"/>
      <c r="Z451" s="360"/>
      <c r="AA451" s="365"/>
      <c r="AB451" s="365"/>
      <c r="AC451" s="366"/>
      <c r="AD451" s="366"/>
      <c r="AE451" s="369"/>
      <c r="AF451" s="360"/>
      <c r="AG451" s="366"/>
    </row>
    <row r="452" spans="1:33">
      <c r="A452" s="406" t="s">
        <v>83</v>
      </c>
      <c r="B452" s="404" t="s">
        <v>481</v>
      </c>
      <c r="C452" s="431" t="s">
        <v>543</v>
      </c>
      <c r="D452" s="406">
        <v>226019</v>
      </c>
      <c r="E452" s="432">
        <v>8</v>
      </c>
      <c r="F452" s="571">
        <f t="shared" si="27"/>
        <v>146522</v>
      </c>
      <c r="G452" s="555">
        <f t="shared" si="28"/>
        <v>143080</v>
      </c>
      <c r="H452" s="365">
        <v>91390</v>
      </c>
      <c r="I452" s="366">
        <v>86688</v>
      </c>
      <c r="J452" s="365">
        <v>35507</v>
      </c>
      <c r="K452" s="367">
        <v>36858</v>
      </c>
      <c r="L452" s="360">
        <v>18361</v>
      </c>
      <c r="M452" s="365">
        <v>1264</v>
      </c>
      <c r="N452" s="365">
        <v>0</v>
      </c>
      <c r="O452" s="366">
        <v>19534</v>
      </c>
      <c r="P452" s="366">
        <v>0</v>
      </c>
      <c r="Q452" s="367">
        <v>0</v>
      </c>
      <c r="R452" s="360"/>
      <c r="S452" s="367"/>
      <c r="T452" s="573">
        <f t="shared" si="29"/>
        <v>0</v>
      </c>
      <c r="U452" s="574">
        <f t="shared" si="30"/>
        <v>0</v>
      </c>
      <c r="V452" s="365"/>
      <c r="W452" s="366"/>
      <c r="X452" s="368"/>
      <c r="Y452" s="367"/>
      <c r="Z452" s="360"/>
      <c r="AA452" s="365"/>
      <c r="AB452" s="365"/>
      <c r="AC452" s="366"/>
      <c r="AD452" s="366"/>
      <c r="AE452" s="369"/>
      <c r="AF452" s="360"/>
      <c r="AG452" s="366"/>
    </row>
    <row r="453" spans="1:33">
      <c r="A453" s="406" t="s">
        <v>83</v>
      </c>
      <c r="B453" s="404" t="s">
        <v>456</v>
      </c>
      <c r="C453" s="405"/>
      <c r="D453" s="406">
        <v>226134</v>
      </c>
      <c r="E453" s="376">
        <v>8</v>
      </c>
      <c r="F453" s="571">
        <f t="shared" si="27"/>
        <v>190762</v>
      </c>
      <c r="G453" s="555">
        <f t="shared" si="28"/>
        <v>189535</v>
      </c>
      <c r="H453" s="365">
        <v>164637</v>
      </c>
      <c r="I453" s="366">
        <v>161229</v>
      </c>
      <c r="J453" s="365">
        <v>0</v>
      </c>
      <c r="K453" s="367">
        <v>1458</v>
      </c>
      <c r="L453" s="360">
        <v>25981</v>
      </c>
      <c r="M453" s="365">
        <v>144</v>
      </c>
      <c r="N453" s="365">
        <v>0</v>
      </c>
      <c r="O453" s="366">
        <v>26281</v>
      </c>
      <c r="P453" s="366">
        <v>567</v>
      </c>
      <c r="Q453" s="367">
        <v>0</v>
      </c>
      <c r="R453" s="360"/>
      <c r="S453" s="367"/>
      <c r="T453" s="573">
        <f t="shared" si="29"/>
        <v>0</v>
      </c>
      <c r="U453" s="574">
        <f t="shared" si="30"/>
        <v>0</v>
      </c>
      <c r="V453" s="365"/>
      <c r="W453" s="366"/>
      <c r="X453" s="368"/>
      <c r="Y453" s="367"/>
      <c r="Z453" s="360"/>
      <c r="AA453" s="365"/>
      <c r="AB453" s="365"/>
      <c r="AC453" s="366"/>
      <c r="AD453" s="366"/>
      <c r="AE453" s="369"/>
      <c r="AF453" s="360"/>
      <c r="AG453" s="366"/>
    </row>
    <row r="454" spans="1:33">
      <c r="A454" s="406" t="s">
        <v>83</v>
      </c>
      <c r="B454" s="404" t="s">
        <v>457</v>
      </c>
      <c r="C454" s="405"/>
      <c r="D454" s="406">
        <v>227182</v>
      </c>
      <c r="E454" s="379">
        <v>8</v>
      </c>
      <c r="F454" s="571">
        <f t="shared" si="27"/>
        <v>1101211</v>
      </c>
      <c r="G454" s="555">
        <f t="shared" si="28"/>
        <v>1153821</v>
      </c>
      <c r="H454" s="365">
        <v>897457</v>
      </c>
      <c r="I454" s="366">
        <v>887196</v>
      </c>
      <c r="J454" s="365">
        <v>1849</v>
      </c>
      <c r="K454" s="367">
        <v>27885</v>
      </c>
      <c r="L454" s="360">
        <v>199783</v>
      </c>
      <c r="M454" s="365">
        <v>0</v>
      </c>
      <c r="N454" s="365">
        <v>2122</v>
      </c>
      <c r="O454" s="366">
        <v>238655</v>
      </c>
      <c r="P454" s="366">
        <v>0</v>
      </c>
      <c r="Q454" s="367">
        <v>85</v>
      </c>
      <c r="R454" s="360"/>
      <c r="S454" s="367"/>
      <c r="T454" s="573">
        <f t="shared" si="29"/>
        <v>0</v>
      </c>
      <c r="U454" s="574">
        <f t="shared" si="30"/>
        <v>0</v>
      </c>
      <c r="V454" s="365"/>
      <c r="W454" s="366"/>
      <c r="X454" s="368"/>
      <c r="Y454" s="367"/>
      <c r="Z454" s="360"/>
      <c r="AA454" s="365"/>
      <c r="AB454" s="365"/>
      <c r="AC454" s="366"/>
      <c r="AD454" s="366"/>
      <c r="AE454" s="369"/>
      <c r="AF454" s="360"/>
      <c r="AG454" s="366"/>
    </row>
    <row r="455" spans="1:33">
      <c r="A455" s="406" t="s">
        <v>83</v>
      </c>
      <c r="B455" s="404" t="s">
        <v>458</v>
      </c>
      <c r="C455" s="405"/>
      <c r="D455" s="406">
        <v>226578</v>
      </c>
      <c r="E455" s="379">
        <v>8</v>
      </c>
      <c r="F455" s="571">
        <f t="shared" si="27"/>
        <v>217294</v>
      </c>
      <c r="G455" s="555">
        <f t="shared" si="28"/>
        <v>225412</v>
      </c>
      <c r="H455" s="365">
        <v>162240</v>
      </c>
      <c r="I455" s="366">
        <v>165015</v>
      </c>
      <c r="J455" s="365">
        <v>15</v>
      </c>
      <c r="K455" s="367">
        <v>15</v>
      </c>
      <c r="L455" s="360">
        <v>54387</v>
      </c>
      <c r="M455" s="365">
        <v>652</v>
      </c>
      <c r="N455" s="365">
        <v>0</v>
      </c>
      <c r="O455" s="366">
        <v>59520</v>
      </c>
      <c r="P455" s="366">
        <v>862</v>
      </c>
      <c r="Q455" s="367">
        <v>0</v>
      </c>
      <c r="R455" s="360"/>
      <c r="S455" s="367"/>
      <c r="T455" s="573">
        <f t="shared" si="29"/>
        <v>0</v>
      </c>
      <c r="U455" s="574">
        <f t="shared" si="30"/>
        <v>0</v>
      </c>
      <c r="V455" s="365"/>
      <c r="W455" s="366"/>
      <c r="X455" s="368"/>
      <c r="Y455" s="367"/>
      <c r="Z455" s="360"/>
      <c r="AA455" s="365"/>
      <c r="AB455" s="365"/>
      <c r="AC455" s="366"/>
      <c r="AD455" s="366"/>
      <c r="AE455" s="369"/>
      <c r="AF455" s="360"/>
      <c r="AG455" s="366"/>
    </row>
    <row r="456" spans="1:33">
      <c r="A456" s="406" t="s">
        <v>83</v>
      </c>
      <c r="B456" s="420" t="s">
        <v>459</v>
      </c>
      <c r="C456" s="421"/>
      <c r="D456" s="418">
        <v>227146</v>
      </c>
      <c r="E456" s="422">
        <v>8</v>
      </c>
      <c r="F456" s="571">
        <f t="shared" ref="F456:F519" si="31">SUM(H456,J456,L456,M456,N456,R456)</f>
        <v>233297</v>
      </c>
      <c r="G456" s="555">
        <f t="shared" ref="G456:G519" si="32">SUM(I456,K456,O456,P456,Q456,S456)</f>
        <v>246587</v>
      </c>
      <c r="H456" s="365">
        <v>77375</v>
      </c>
      <c r="I456" s="366">
        <v>80758</v>
      </c>
      <c r="J456" s="365">
        <v>90051</v>
      </c>
      <c r="K456" s="367">
        <v>94975</v>
      </c>
      <c r="L456" s="360">
        <v>61700</v>
      </c>
      <c r="M456" s="365">
        <v>30</v>
      </c>
      <c r="N456" s="365">
        <v>4141</v>
      </c>
      <c r="O456" s="366">
        <v>67642</v>
      </c>
      <c r="P456" s="366">
        <v>55</v>
      </c>
      <c r="Q456" s="367">
        <v>3157</v>
      </c>
      <c r="R456" s="360"/>
      <c r="S456" s="367"/>
      <c r="T456" s="573">
        <f t="shared" ref="T456:T519" si="33">SUM(V456,X456,Z456,AA456,AB456,AF456)</f>
        <v>0</v>
      </c>
      <c r="U456" s="574">
        <f t="shared" ref="U456:U519" si="34">SUM(W456,Y456,AC456,AD456,AE456,AG456)</f>
        <v>0</v>
      </c>
      <c r="V456" s="365"/>
      <c r="W456" s="366"/>
      <c r="X456" s="368"/>
      <c r="Y456" s="367"/>
      <c r="Z456" s="360"/>
      <c r="AA456" s="365"/>
      <c r="AB456" s="365"/>
      <c r="AC456" s="366"/>
      <c r="AD456" s="366"/>
      <c r="AE456" s="369"/>
      <c r="AF456" s="360"/>
      <c r="AG456" s="366"/>
    </row>
    <row r="457" spans="1:33">
      <c r="A457" s="406" t="s">
        <v>83</v>
      </c>
      <c r="B457" s="416" t="s">
        <v>460</v>
      </c>
      <c r="C457" s="417"/>
      <c r="D457" s="406">
        <v>224110</v>
      </c>
      <c r="E457" s="415">
        <v>8</v>
      </c>
      <c r="F457" s="571">
        <f t="shared" si="31"/>
        <v>177108</v>
      </c>
      <c r="G457" s="555">
        <f t="shared" si="32"/>
        <v>185792</v>
      </c>
      <c r="H457" s="365">
        <v>32443</v>
      </c>
      <c r="I457" s="366">
        <v>31660</v>
      </c>
      <c r="J457" s="365">
        <v>115132</v>
      </c>
      <c r="K457" s="367">
        <v>128889</v>
      </c>
      <c r="L457" s="360">
        <v>28266</v>
      </c>
      <c r="M457" s="365">
        <v>219</v>
      </c>
      <c r="N457" s="365">
        <v>1048</v>
      </c>
      <c r="O457" s="366">
        <v>24256</v>
      </c>
      <c r="P457" s="366">
        <v>21</v>
      </c>
      <c r="Q457" s="367">
        <v>966</v>
      </c>
      <c r="R457" s="360"/>
      <c r="S457" s="367"/>
      <c r="T457" s="573">
        <f t="shared" si="33"/>
        <v>0</v>
      </c>
      <c r="U457" s="574">
        <f t="shared" si="34"/>
        <v>0</v>
      </c>
      <c r="V457" s="365"/>
      <c r="W457" s="366"/>
      <c r="X457" s="368"/>
      <c r="Y457" s="367"/>
      <c r="Z457" s="360"/>
      <c r="AA457" s="365"/>
      <c r="AB457" s="365"/>
      <c r="AC457" s="366"/>
      <c r="AD457" s="366"/>
      <c r="AE457" s="369"/>
      <c r="AF457" s="360"/>
      <c r="AG457" s="366"/>
    </row>
    <row r="458" spans="1:33">
      <c r="A458" s="406" t="s">
        <v>83</v>
      </c>
      <c r="B458" s="404" t="s">
        <v>461</v>
      </c>
      <c r="C458" s="405"/>
      <c r="D458" s="406">
        <v>227191</v>
      </c>
      <c r="E458" s="376">
        <v>8</v>
      </c>
      <c r="F458" s="571">
        <f t="shared" si="31"/>
        <v>205951</v>
      </c>
      <c r="G458" s="555">
        <f t="shared" si="32"/>
        <v>200661</v>
      </c>
      <c r="H458" s="365">
        <v>154828</v>
      </c>
      <c r="I458" s="366">
        <v>145362</v>
      </c>
      <c r="J458" s="365">
        <v>3514</v>
      </c>
      <c r="K458" s="367">
        <v>1827</v>
      </c>
      <c r="L458" s="360">
        <v>47477</v>
      </c>
      <c r="M458" s="365">
        <v>0</v>
      </c>
      <c r="N458" s="365">
        <v>132</v>
      </c>
      <c r="O458" s="366">
        <v>53364</v>
      </c>
      <c r="P458" s="366">
        <v>0</v>
      </c>
      <c r="Q458" s="367">
        <v>108</v>
      </c>
      <c r="R458" s="360"/>
      <c r="S458" s="367"/>
      <c r="T458" s="573">
        <f t="shared" si="33"/>
        <v>0</v>
      </c>
      <c r="U458" s="574">
        <f t="shared" si="34"/>
        <v>0</v>
      </c>
      <c r="V458" s="365"/>
      <c r="W458" s="366"/>
      <c r="X458" s="368"/>
      <c r="Y458" s="367"/>
      <c r="Z458" s="360"/>
      <c r="AA458" s="365"/>
      <c r="AB458" s="365"/>
      <c r="AC458" s="366"/>
      <c r="AD458" s="366"/>
      <c r="AE458" s="369"/>
      <c r="AF458" s="360"/>
      <c r="AG458" s="366"/>
    </row>
    <row r="459" spans="1:33">
      <c r="A459" s="406" t="s">
        <v>83</v>
      </c>
      <c r="B459" s="404" t="s">
        <v>462</v>
      </c>
      <c r="C459" s="405"/>
      <c r="D459" s="406">
        <v>420398</v>
      </c>
      <c r="E459" s="376">
        <v>8</v>
      </c>
      <c r="F459" s="571">
        <f t="shared" si="31"/>
        <v>295874</v>
      </c>
      <c r="G459" s="555">
        <f t="shared" si="32"/>
        <v>295974</v>
      </c>
      <c r="H459" s="365">
        <v>267567</v>
      </c>
      <c r="I459" s="366">
        <v>254345</v>
      </c>
      <c r="J459" s="365">
        <v>0</v>
      </c>
      <c r="K459" s="367">
        <v>11515</v>
      </c>
      <c r="L459" s="360">
        <v>26262</v>
      </c>
      <c r="M459" s="365">
        <v>0</v>
      </c>
      <c r="N459" s="365">
        <v>2045</v>
      </c>
      <c r="O459" s="366">
        <v>28227</v>
      </c>
      <c r="P459" s="366">
        <v>0</v>
      </c>
      <c r="Q459" s="367">
        <v>1887</v>
      </c>
      <c r="R459" s="360"/>
      <c r="S459" s="367"/>
      <c r="T459" s="573">
        <f t="shared" si="33"/>
        <v>0</v>
      </c>
      <c r="U459" s="574">
        <f t="shared" si="34"/>
        <v>0</v>
      </c>
      <c r="V459" s="365"/>
      <c r="W459" s="366"/>
      <c r="X459" s="368"/>
      <c r="Y459" s="367"/>
      <c r="Z459" s="360"/>
      <c r="AA459" s="365"/>
      <c r="AB459" s="365"/>
      <c r="AC459" s="366"/>
      <c r="AD459" s="366"/>
      <c r="AE459" s="369"/>
      <c r="AF459" s="360"/>
      <c r="AG459" s="366"/>
    </row>
    <row r="460" spans="1:33">
      <c r="A460" s="406" t="s">
        <v>83</v>
      </c>
      <c r="B460" s="404" t="s">
        <v>463</v>
      </c>
      <c r="C460" s="405"/>
      <c r="D460" s="406">
        <v>246354</v>
      </c>
      <c r="E460" s="376">
        <v>8</v>
      </c>
      <c r="F460" s="571">
        <f t="shared" si="31"/>
        <v>165105</v>
      </c>
      <c r="G460" s="555">
        <f t="shared" si="32"/>
        <v>166284</v>
      </c>
      <c r="H460" s="365">
        <v>134898</v>
      </c>
      <c r="I460" s="366">
        <v>122662</v>
      </c>
      <c r="J460" s="365">
        <v>93</v>
      </c>
      <c r="K460" s="367">
        <v>5427</v>
      </c>
      <c r="L460" s="360">
        <v>27177</v>
      </c>
      <c r="M460" s="365">
        <v>1035</v>
      </c>
      <c r="N460" s="365">
        <v>1902</v>
      </c>
      <c r="O460" s="366">
        <v>35730</v>
      </c>
      <c r="P460" s="366">
        <v>0</v>
      </c>
      <c r="Q460" s="367">
        <v>2465</v>
      </c>
      <c r="R460" s="360"/>
      <c r="S460" s="367"/>
      <c r="T460" s="573">
        <f t="shared" si="33"/>
        <v>0</v>
      </c>
      <c r="U460" s="574">
        <f t="shared" si="34"/>
        <v>0</v>
      </c>
      <c r="V460" s="365"/>
      <c r="W460" s="366"/>
      <c r="X460" s="368"/>
      <c r="Y460" s="367"/>
      <c r="Z460" s="360"/>
      <c r="AA460" s="365"/>
      <c r="AB460" s="365"/>
      <c r="AC460" s="366"/>
      <c r="AD460" s="366"/>
      <c r="AE460" s="369"/>
      <c r="AF460" s="360"/>
      <c r="AG460" s="366"/>
    </row>
    <row r="461" spans="1:33">
      <c r="A461" s="406" t="s">
        <v>83</v>
      </c>
      <c r="B461" s="404" t="s">
        <v>464</v>
      </c>
      <c r="C461" s="405"/>
      <c r="D461" s="406">
        <v>227766</v>
      </c>
      <c r="E461" s="376">
        <v>8</v>
      </c>
      <c r="F461" s="571">
        <f t="shared" si="31"/>
        <v>350074</v>
      </c>
      <c r="G461" s="555">
        <f t="shared" si="32"/>
        <v>352162</v>
      </c>
      <c r="H461" s="365">
        <v>258961</v>
      </c>
      <c r="I461" s="366">
        <v>257678</v>
      </c>
      <c r="J461" s="365">
        <v>0</v>
      </c>
      <c r="K461" s="367">
        <v>92</v>
      </c>
      <c r="L461" s="360">
        <v>91113</v>
      </c>
      <c r="M461" s="365">
        <v>0</v>
      </c>
      <c r="N461" s="365">
        <v>0</v>
      </c>
      <c r="O461" s="366">
        <v>94392</v>
      </c>
      <c r="P461" s="366">
        <v>0</v>
      </c>
      <c r="Q461" s="367">
        <v>0</v>
      </c>
      <c r="R461" s="360"/>
      <c r="S461" s="367"/>
      <c r="T461" s="573">
        <f t="shared" si="33"/>
        <v>0</v>
      </c>
      <c r="U461" s="574">
        <f t="shared" si="34"/>
        <v>0</v>
      </c>
      <c r="V461" s="365"/>
      <c r="W461" s="366"/>
      <c r="X461" s="368"/>
      <c r="Y461" s="367"/>
      <c r="Z461" s="360"/>
      <c r="AA461" s="365"/>
      <c r="AB461" s="365"/>
      <c r="AC461" s="366"/>
      <c r="AD461" s="366"/>
      <c r="AE461" s="369"/>
      <c r="AF461" s="360"/>
      <c r="AG461" s="366"/>
    </row>
    <row r="462" spans="1:33">
      <c r="A462" s="406" t="s">
        <v>83</v>
      </c>
      <c r="B462" s="404" t="s">
        <v>465</v>
      </c>
      <c r="C462" s="405"/>
      <c r="D462" s="406">
        <v>227924</v>
      </c>
      <c r="E462" s="376">
        <v>8</v>
      </c>
      <c r="F462" s="571">
        <f t="shared" si="31"/>
        <v>501465</v>
      </c>
      <c r="G462" s="555">
        <f t="shared" si="32"/>
        <v>498564</v>
      </c>
      <c r="H462" s="365">
        <v>428816</v>
      </c>
      <c r="I462" s="366">
        <v>429331</v>
      </c>
      <c r="J462" s="365">
        <v>3658</v>
      </c>
      <c r="K462" s="367">
        <v>8615</v>
      </c>
      <c r="L462" s="360">
        <v>65514</v>
      </c>
      <c r="M462" s="365">
        <v>0</v>
      </c>
      <c r="N462" s="365">
        <v>3477</v>
      </c>
      <c r="O462" s="366">
        <v>56874</v>
      </c>
      <c r="P462" s="366">
        <v>0</v>
      </c>
      <c r="Q462" s="367">
        <v>3744</v>
      </c>
      <c r="R462" s="360"/>
      <c r="S462" s="367"/>
      <c r="T462" s="573">
        <f t="shared" si="33"/>
        <v>0</v>
      </c>
      <c r="U462" s="574">
        <f t="shared" si="34"/>
        <v>0</v>
      </c>
      <c r="V462" s="365"/>
      <c r="W462" s="366"/>
      <c r="X462" s="368"/>
      <c r="Y462" s="367"/>
      <c r="Z462" s="360"/>
      <c r="AA462" s="365"/>
      <c r="AB462" s="365"/>
      <c r="AC462" s="366"/>
      <c r="AD462" s="366"/>
      <c r="AE462" s="369"/>
      <c r="AF462" s="360"/>
      <c r="AG462" s="366"/>
    </row>
    <row r="463" spans="1:33">
      <c r="A463" s="406" t="s">
        <v>83</v>
      </c>
      <c r="B463" s="404" t="s">
        <v>466</v>
      </c>
      <c r="C463" s="405"/>
      <c r="D463" s="406">
        <v>227979</v>
      </c>
      <c r="E463" s="376">
        <v>8</v>
      </c>
      <c r="F463" s="571">
        <f t="shared" si="31"/>
        <v>575097</v>
      </c>
      <c r="G463" s="555">
        <f t="shared" si="32"/>
        <v>600397</v>
      </c>
      <c r="H463" s="365">
        <v>489108</v>
      </c>
      <c r="I463" s="366">
        <v>479001</v>
      </c>
      <c r="J463" s="365">
        <v>11218</v>
      </c>
      <c r="K463" s="367">
        <v>10817</v>
      </c>
      <c r="L463" s="360">
        <v>74372</v>
      </c>
      <c r="M463" s="365">
        <v>399</v>
      </c>
      <c r="N463" s="365">
        <v>0</v>
      </c>
      <c r="O463" s="366">
        <v>110382</v>
      </c>
      <c r="P463" s="366">
        <v>197</v>
      </c>
      <c r="Q463" s="367">
        <v>0</v>
      </c>
      <c r="R463" s="360"/>
      <c r="S463" s="367"/>
      <c r="T463" s="573">
        <f t="shared" si="33"/>
        <v>0</v>
      </c>
      <c r="U463" s="574">
        <f t="shared" si="34"/>
        <v>0</v>
      </c>
      <c r="V463" s="365"/>
      <c r="W463" s="366"/>
      <c r="X463" s="368"/>
      <c r="Y463" s="367"/>
      <c r="Z463" s="360"/>
      <c r="AA463" s="365"/>
      <c r="AB463" s="365"/>
      <c r="AC463" s="366"/>
      <c r="AD463" s="366"/>
      <c r="AE463" s="369"/>
      <c r="AF463" s="360"/>
      <c r="AG463" s="366"/>
    </row>
    <row r="464" spans="1:33">
      <c r="A464" s="406" t="s">
        <v>83</v>
      </c>
      <c r="B464" s="404" t="s">
        <v>467</v>
      </c>
      <c r="C464" s="405"/>
      <c r="D464" s="406">
        <v>228158</v>
      </c>
      <c r="E464" s="376">
        <v>8</v>
      </c>
      <c r="F464" s="571">
        <f t="shared" si="31"/>
        <v>217039</v>
      </c>
      <c r="G464" s="555">
        <f t="shared" si="32"/>
        <v>219143</v>
      </c>
      <c r="H464" s="365">
        <v>94485</v>
      </c>
      <c r="I464" s="366">
        <v>92008</v>
      </c>
      <c r="J464" s="365">
        <v>84031</v>
      </c>
      <c r="K464" s="367">
        <v>87807</v>
      </c>
      <c r="L464" s="360">
        <v>31816</v>
      </c>
      <c r="M464" s="365">
        <v>3245</v>
      </c>
      <c r="N464" s="365">
        <v>3462</v>
      </c>
      <c r="O464" s="366">
        <v>33425</v>
      </c>
      <c r="P464" s="366">
        <v>2986</v>
      </c>
      <c r="Q464" s="367">
        <v>2917</v>
      </c>
      <c r="R464" s="360"/>
      <c r="S464" s="367"/>
      <c r="T464" s="573">
        <f t="shared" si="33"/>
        <v>0</v>
      </c>
      <c r="U464" s="574">
        <f t="shared" si="34"/>
        <v>0</v>
      </c>
      <c r="V464" s="365"/>
      <c r="W464" s="366"/>
      <c r="X464" s="368"/>
      <c r="Y464" s="367"/>
      <c r="Z464" s="360"/>
      <c r="AA464" s="365"/>
      <c r="AB464" s="365"/>
      <c r="AC464" s="366"/>
      <c r="AD464" s="366"/>
      <c r="AE464" s="369"/>
      <c r="AF464" s="360"/>
      <c r="AG464" s="366"/>
    </row>
    <row r="465" spans="1:33">
      <c r="A465" s="406" t="s">
        <v>83</v>
      </c>
      <c r="B465" s="404" t="s">
        <v>468</v>
      </c>
      <c r="C465" s="405"/>
      <c r="D465" s="406">
        <v>227854</v>
      </c>
      <c r="E465" s="376">
        <v>8</v>
      </c>
      <c r="F465" s="571">
        <f t="shared" si="31"/>
        <v>218515</v>
      </c>
      <c r="G465" s="555">
        <f t="shared" si="32"/>
        <v>198581</v>
      </c>
      <c r="H465" s="365">
        <v>183707</v>
      </c>
      <c r="I465" s="366">
        <v>169002</v>
      </c>
      <c r="J465" s="365">
        <v>1414</v>
      </c>
      <c r="K465" s="367">
        <v>5984</v>
      </c>
      <c r="L465" s="360">
        <v>31378</v>
      </c>
      <c r="M465" s="365">
        <v>0</v>
      </c>
      <c r="N465" s="365">
        <v>2016</v>
      </c>
      <c r="O465" s="366">
        <v>22694</v>
      </c>
      <c r="P465" s="366">
        <v>0</v>
      </c>
      <c r="Q465" s="367">
        <v>901</v>
      </c>
      <c r="R465" s="360"/>
      <c r="S465" s="367"/>
      <c r="T465" s="573">
        <f t="shared" si="33"/>
        <v>0</v>
      </c>
      <c r="U465" s="574">
        <f t="shared" si="34"/>
        <v>0</v>
      </c>
      <c r="V465" s="365"/>
      <c r="W465" s="366"/>
      <c r="X465" s="368"/>
      <c r="Y465" s="367"/>
      <c r="Z465" s="360"/>
      <c r="AA465" s="365"/>
      <c r="AB465" s="365"/>
      <c r="AC465" s="366"/>
      <c r="AD465" s="366"/>
      <c r="AE465" s="369"/>
      <c r="AF465" s="360"/>
      <c r="AG465" s="366"/>
    </row>
    <row r="466" spans="1:33">
      <c r="A466" s="406" t="s">
        <v>83</v>
      </c>
      <c r="B466" s="404" t="s">
        <v>469</v>
      </c>
      <c r="C466" s="405"/>
      <c r="D466" s="406">
        <v>228547</v>
      </c>
      <c r="E466" s="376">
        <v>8</v>
      </c>
      <c r="F466" s="571">
        <f t="shared" si="31"/>
        <v>968654</v>
      </c>
      <c r="G466" s="555">
        <f t="shared" si="32"/>
        <v>972659</v>
      </c>
      <c r="H466" s="365">
        <v>797438</v>
      </c>
      <c r="I466" s="366">
        <v>779370</v>
      </c>
      <c r="J466" s="365">
        <v>222</v>
      </c>
      <c r="K466" s="367">
        <v>16541</v>
      </c>
      <c r="L466" s="360">
        <v>146199</v>
      </c>
      <c r="M466" s="365">
        <v>0</v>
      </c>
      <c r="N466" s="365">
        <v>24795</v>
      </c>
      <c r="O466" s="366">
        <v>154554</v>
      </c>
      <c r="P466" s="366">
        <v>0</v>
      </c>
      <c r="Q466" s="367">
        <v>22194</v>
      </c>
      <c r="R466" s="360"/>
      <c r="S466" s="367"/>
      <c r="T466" s="573">
        <f t="shared" si="33"/>
        <v>0</v>
      </c>
      <c r="U466" s="574">
        <f t="shared" si="34"/>
        <v>0</v>
      </c>
      <c r="V466" s="365"/>
      <c r="W466" s="366"/>
      <c r="X466" s="368"/>
      <c r="Y466" s="367"/>
      <c r="Z466" s="360"/>
      <c r="AA466" s="365"/>
      <c r="AB466" s="365"/>
      <c r="AC466" s="366"/>
      <c r="AD466" s="366"/>
      <c r="AE466" s="369"/>
      <c r="AF466" s="360"/>
      <c r="AG466" s="366"/>
    </row>
    <row r="467" spans="1:33">
      <c r="A467" s="406" t="s">
        <v>83</v>
      </c>
      <c r="B467" s="404" t="s">
        <v>470</v>
      </c>
      <c r="C467" s="405"/>
      <c r="D467" s="406">
        <v>229072</v>
      </c>
      <c r="E467" s="376">
        <v>8</v>
      </c>
      <c r="F467" s="571">
        <f t="shared" si="31"/>
        <v>190606</v>
      </c>
      <c r="G467" s="555">
        <f t="shared" si="32"/>
        <v>193366</v>
      </c>
      <c r="H467" s="365">
        <v>178372</v>
      </c>
      <c r="I467" s="366">
        <v>180660</v>
      </c>
      <c r="J467" s="365">
        <v>3997</v>
      </c>
      <c r="K467" s="367">
        <v>2953</v>
      </c>
      <c r="L467" s="360">
        <v>8237</v>
      </c>
      <c r="M467" s="365">
        <v>0</v>
      </c>
      <c r="N467" s="365">
        <v>0</v>
      </c>
      <c r="O467" s="366">
        <v>9753</v>
      </c>
      <c r="P467" s="366">
        <v>0</v>
      </c>
      <c r="Q467" s="367">
        <v>0</v>
      </c>
      <c r="R467" s="360"/>
      <c r="S467" s="367"/>
      <c r="T467" s="573">
        <f t="shared" si="33"/>
        <v>0</v>
      </c>
      <c r="U467" s="574">
        <f t="shared" si="34"/>
        <v>0</v>
      </c>
      <c r="V467" s="365"/>
      <c r="W467" s="366"/>
      <c r="X467" s="368"/>
      <c r="Y467" s="367"/>
      <c r="Z467" s="360"/>
      <c r="AA467" s="365"/>
      <c r="AB467" s="365"/>
      <c r="AC467" s="366"/>
      <c r="AD467" s="366"/>
      <c r="AE467" s="369"/>
      <c r="AF467" s="360"/>
      <c r="AG467" s="366"/>
    </row>
    <row r="468" spans="1:33">
      <c r="A468" s="406" t="s">
        <v>83</v>
      </c>
      <c r="B468" s="404" t="s">
        <v>491</v>
      </c>
      <c r="C468" s="431" t="s">
        <v>543</v>
      </c>
      <c r="D468" s="406">
        <v>228680</v>
      </c>
      <c r="E468" s="432">
        <v>8</v>
      </c>
      <c r="F468" s="571">
        <f t="shared" si="31"/>
        <v>163434</v>
      </c>
      <c r="G468" s="555">
        <f t="shared" si="32"/>
        <v>152796</v>
      </c>
      <c r="H468" s="365">
        <v>143272</v>
      </c>
      <c r="I468" s="366">
        <v>137303</v>
      </c>
      <c r="J468" s="365">
        <v>8499</v>
      </c>
      <c r="K468" s="367">
        <v>6521</v>
      </c>
      <c r="L468" s="360">
        <v>11663</v>
      </c>
      <c r="M468" s="365">
        <v>0</v>
      </c>
      <c r="N468" s="365">
        <v>0</v>
      </c>
      <c r="O468" s="366">
        <v>8972</v>
      </c>
      <c r="P468" s="366">
        <v>0</v>
      </c>
      <c r="Q468" s="367">
        <v>0</v>
      </c>
      <c r="R468" s="360"/>
      <c r="S468" s="367"/>
      <c r="T468" s="573">
        <f t="shared" si="33"/>
        <v>0</v>
      </c>
      <c r="U468" s="574">
        <f t="shared" si="34"/>
        <v>0</v>
      </c>
      <c r="V468" s="365"/>
      <c r="W468" s="366"/>
      <c r="X468" s="368"/>
      <c r="Y468" s="367"/>
      <c r="Z468" s="360"/>
      <c r="AA468" s="365"/>
      <c r="AB468" s="365"/>
      <c r="AC468" s="366"/>
      <c r="AD468" s="366"/>
      <c r="AE468" s="369"/>
      <c r="AF468" s="360"/>
      <c r="AG468" s="366"/>
    </row>
    <row r="469" spans="1:33">
      <c r="A469" s="406" t="s">
        <v>83</v>
      </c>
      <c r="B469" s="404" t="s">
        <v>492</v>
      </c>
      <c r="C469" s="431" t="s">
        <v>543</v>
      </c>
      <c r="D469" s="406">
        <v>225308</v>
      </c>
      <c r="E469" s="432">
        <v>8</v>
      </c>
      <c r="F469" s="571">
        <f t="shared" si="31"/>
        <v>166114</v>
      </c>
      <c r="G469" s="555">
        <f t="shared" si="32"/>
        <v>167830</v>
      </c>
      <c r="H469" s="365">
        <v>94853</v>
      </c>
      <c r="I469" s="366">
        <v>95900</v>
      </c>
      <c r="J469" s="365">
        <v>43587</v>
      </c>
      <c r="K469" s="367">
        <v>42624</v>
      </c>
      <c r="L469" s="360">
        <v>26840</v>
      </c>
      <c r="M469" s="365">
        <v>834</v>
      </c>
      <c r="N469" s="365">
        <v>0</v>
      </c>
      <c r="O469" s="366">
        <v>29159</v>
      </c>
      <c r="P469" s="366">
        <v>147</v>
      </c>
      <c r="Q469" s="367">
        <v>0</v>
      </c>
      <c r="R469" s="360"/>
      <c r="S469" s="367"/>
      <c r="T469" s="573">
        <f t="shared" si="33"/>
        <v>0</v>
      </c>
      <c r="U469" s="574">
        <f t="shared" si="34"/>
        <v>0</v>
      </c>
      <c r="V469" s="365"/>
      <c r="W469" s="366"/>
      <c r="X469" s="368"/>
      <c r="Y469" s="367"/>
      <c r="Z469" s="360"/>
      <c r="AA469" s="365"/>
      <c r="AB469" s="365"/>
      <c r="AC469" s="366"/>
      <c r="AD469" s="366"/>
      <c r="AE469" s="369"/>
      <c r="AF469" s="360"/>
      <c r="AG469" s="366"/>
    </row>
    <row r="470" spans="1:33">
      <c r="A470" s="406" t="s">
        <v>83</v>
      </c>
      <c r="B470" s="404" t="s">
        <v>471</v>
      </c>
      <c r="C470" s="405"/>
      <c r="D470" s="406">
        <v>229355</v>
      </c>
      <c r="E470" s="376">
        <v>8</v>
      </c>
      <c r="F470" s="571">
        <f t="shared" si="31"/>
        <v>259168</v>
      </c>
      <c r="G470" s="555">
        <f t="shared" si="32"/>
        <v>259782</v>
      </c>
      <c r="H470" s="365">
        <v>206336</v>
      </c>
      <c r="I470" s="366">
        <v>186994</v>
      </c>
      <c r="J470" s="365">
        <v>0</v>
      </c>
      <c r="K470" s="367">
        <v>1355</v>
      </c>
      <c r="L470" s="360">
        <v>51977</v>
      </c>
      <c r="M470" s="365">
        <v>0</v>
      </c>
      <c r="N470" s="365">
        <v>855</v>
      </c>
      <c r="O470" s="366">
        <v>71085</v>
      </c>
      <c r="P470" s="366">
        <v>0</v>
      </c>
      <c r="Q470" s="367">
        <v>348</v>
      </c>
      <c r="R470" s="360"/>
      <c r="S470" s="367"/>
      <c r="T470" s="573">
        <f t="shared" si="33"/>
        <v>0</v>
      </c>
      <c r="U470" s="574">
        <f t="shared" si="34"/>
        <v>0</v>
      </c>
      <c r="V470" s="365"/>
      <c r="W470" s="366"/>
      <c r="X470" s="368"/>
      <c r="Y470" s="367"/>
      <c r="Z470" s="360"/>
      <c r="AA470" s="365"/>
      <c r="AB470" s="365"/>
      <c r="AC470" s="366"/>
      <c r="AD470" s="366"/>
      <c r="AE470" s="369"/>
      <c r="AF470" s="360"/>
      <c r="AG470" s="366"/>
    </row>
    <row r="471" spans="1:33">
      <c r="A471" s="406" t="s">
        <v>83</v>
      </c>
      <c r="B471" s="404" t="s">
        <v>472</v>
      </c>
      <c r="C471" s="405"/>
      <c r="D471" s="406">
        <v>222567</v>
      </c>
      <c r="E471" s="376">
        <v>9</v>
      </c>
      <c r="F471" s="571">
        <f t="shared" si="31"/>
        <v>111467</v>
      </c>
      <c r="G471" s="555">
        <f t="shared" si="32"/>
        <v>106578</v>
      </c>
      <c r="H471" s="365">
        <v>93297</v>
      </c>
      <c r="I471" s="366">
        <v>88842</v>
      </c>
      <c r="J471" s="365">
        <v>18170</v>
      </c>
      <c r="K471" s="367">
        <v>17736</v>
      </c>
      <c r="L471" s="360">
        <v>0</v>
      </c>
      <c r="M471" s="365">
        <v>0</v>
      </c>
      <c r="N471" s="365">
        <v>0</v>
      </c>
      <c r="O471" s="366">
        <v>0</v>
      </c>
      <c r="P471" s="366">
        <v>0</v>
      </c>
      <c r="Q471" s="367">
        <v>0</v>
      </c>
      <c r="R471" s="360"/>
      <c r="S471" s="367"/>
      <c r="T471" s="573">
        <f t="shared" si="33"/>
        <v>0</v>
      </c>
      <c r="U471" s="574">
        <f t="shared" si="34"/>
        <v>0</v>
      </c>
      <c r="V471" s="365"/>
      <c r="W471" s="366"/>
      <c r="X471" s="368"/>
      <c r="Y471" s="367"/>
      <c r="Z471" s="360"/>
      <c r="AA471" s="365"/>
      <c r="AB471" s="365"/>
      <c r="AC471" s="366"/>
      <c r="AD471" s="366"/>
      <c r="AE471" s="369"/>
      <c r="AF471" s="360"/>
      <c r="AG471" s="366"/>
    </row>
    <row r="472" spans="1:33">
      <c r="A472" s="406" t="s">
        <v>83</v>
      </c>
      <c r="B472" s="404" t="s">
        <v>473</v>
      </c>
      <c r="C472" s="405"/>
      <c r="D472" s="406">
        <v>222822</v>
      </c>
      <c r="E472" s="376">
        <v>9</v>
      </c>
      <c r="F472" s="571">
        <f t="shared" si="31"/>
        <v>114278</v>
      </c>
      <c r="G472" s="555">
        <f t="shared" si="32"/>
        <v>113896</v>
      </c>
      <c r="H472" s="365">
        <v>79774</v>
      </c>
      <c r="I472" s="366">
        <v>72306</v>
      </c>
      <c r="J472" s="365">
        <v>13147</v>
      </c>
      <c r="K472" s="367">
        <v>13237</v>
      </c>
      <c r="L472" s="360">
        <v>14636</v>
      </c>
      <c r="M472" s="365">
        <v>6676</v>
      </c>
      <c r="N472" s="365">
        <v>45</v>
      </c>
      <c r="O472" s="366">
        <v>20104</v>
      </c>
      <c r="P472" s="366">
        <v>8189</v>
      </c>
      <c r="Q472" s="367">
        <v>60</v>
      </c>
      <c r="R472" s="360"/>
      <c r="S472" s="367"/>
      <c r="T472" s="573">
        <f t="shared" si="33"/>
        <v>0</v>
      </c>
      <c r="U472" s="574">
        <f t="shared" si="34"/>
        <v>0</v>
      </c>
      <c r="V472" s="365"/>
      <c r="W472" s="366"/>
      <c r="X472" s="368"/>
      <c r="Y472" s="367"/>
      <c r="Z472" s="360"/>
      <c r="AA472" s="365"/>
      <c r="AB472" s="365"/>
      <c r="AC472" s="366"/>
      <c r="AD472" s="366"/>
      <c r="AE472" s="369"/>
      <c r="AF472" s="360"/>
      <c r="AG472" s="366"/>
    </row>
    <row r="473" spans="1:33">
      <c r="A473" s="406" t="s">
        <v>83</v>
      </c>
      <c r="B473" s="404" t="s">
        <v>474</v>
      </c>
      <c r="C473" s="405"/>
      <c r="D473" s="406">
        <v>223773</v>
      </c>
      <c r="E473" s="376">
        <v>9</v>
      </c>
      <c r="F473" s="571">
        <f t="shared" si="31"/>
        <v>110642</v>
      </c>
      <c r="G473" s="555">
        <f t="shared" si="32"/>
        <v>111968</v>
      </c>
      <c r="H473" s="365">
        <v>73303</v>
      </c>
      <c r="I473" s="366">
        <v>71640</v>
      </c>
      <c r="J473" s="365">
        <v>1243</v>
      </c>
      <c r="K473" s="367">
        <v>1572</v>
      </c>
      <c r="L473" s="360">
        <v>36096</v>
      </c>
      <c r="M473" s="365">
        <v>0</v>
      </c>
      <c r="N473" s="365">
        <v>0</v>
      </c>
      <c r="O473" s="366">
        <v>38756</v>
      </c>
      <c r="P473" s="366">
        <v>0</v>
      </c>
      <c r="Q473" s="367">
        <v>0</v>
      </c>
      <c r="R473" s="360"/>
      <c r="S473" s="367"/>
      <c r="T473" s="573">
        <f t="shared" si="33"/>
        <v>0</v>
      </c>
      <c r="U473" s="574">
        <f t="shared" si="34"/>
        <v>0</v>
      </c>
      <c r="V473" s="365"/>
      <c r="W473" s="366"/>
      <c r="X473" s="368"/>
      <c r="Y473" s="367"/>
      <c r="Z473" s="360"/>
      <c r="AA473" s="365"/>
      <c r="AB473" s="365"/>
      <c r="AC473" s="366"/>
      <c r="AD473" s="366"/>
      <c r="AE473" s="369"/>
      <c r="AF473" s="360"/>
      <c r="AG473" s="366"/>
    </row>
    <row r="474" spans="1:33">
      <c r="A474" s="406" t="s">
        <v>83</v>
      </c>
      <c r="B474" s="404" t="s">
        <v>475</v>
      </c>
      <c r="C474" s="405"/>
      <c r="D474" s="406">
        <v>223898</v>
      </c>
      <c r="E474" s="376">
        <v>9</v>
      </c>
      <c r="F474" s="571">
        <f t="shared" si="31"/>
        <v>95299</v>
      </c>
      <c r="G474" s="555">
        <f t="shared" si="32"/>
        <v>94568</v>
      </c>
      <c r="H474" s="365">
        <v>16291</v>
      </c>
      <c r="I474" s="366">
        <v>15015</v>
      </c>
      <c r="J474" s="365">
        <v>58548</v>
      </c>
      <c r="K474" s="367">
        <v>56714</v>
      </c>
      <c r="L474" s="360">
        <v>19398</v>
      </c>
      <c r="M474" s="365">
        <v>1062</v>
      </c>
      <c r="N474" s="365">
        <v>0</v>
      </c>
      <c r="O474" s="366">
        <v>21567</v>
      </c>
      <c r="P474" s="366">
        <v>1272</v>
      </c>
      <c r="Q474" s="367">
        <v>0</v>
      </c>
      <c r="R474" s="360"/>
      <c r="S474" s="367"/>
      <c r="T474" s="573">
        <f t="shared" si="33"/>
        <v>0</v>
      </c>
      <c r="U474" s="574">
        <f t="shared" si="34"/>
        <v>0</v>
      </c>
      <c r="V474" s="365"/>
      <c r="W474" s="366"/>
      <c r="X474" s="368"/>
      <c r="Y474" s="367"/>
      <c r="Z474" s="360"/>
      <c r="AA474" s="365"/>
      <c r="AB474" s="365"/>
      <c r="AC474" s="366"/>
      <c r="AD474" s="366"/>
      <c r="AE474" s="369"/>
      <c r="AF474" s="360"/>
      <c r="AG474" s="366"/>
    </row>
    <row r="475" spans="1:33">
      <c r="A475" s="406" t="s">
        <v>83</v>
      </c>
      <c r="B475" s="404" t="s">
        <v>476</v>
      </c>
      <c r="C475" s="405"/>
      <c r="D475" s="406">
        <v>223320</v>
      </c>
      <c r="E475" s="376">
        <v>9</v>
      </c>
      <c r="F475" s="571">
        <f t="shared" si="31"/>
        <v>85421</v>
      </c>
      <c r="G475" s="555">
        <f t="shared" si="32"/>
        <v>79616</v>
      </c>
      <c r="H475" s="365">
        <v>25762</v>
      </c>
      <c r="I475" s="366">
        <v>22969</v>
      </c>
      <c r="J475" s="365">
        <v>38577</v>
      </c>
      <c r="K475" s="367">
        <v>35841</v>
      </c>
      <c r="L475" s="360">
        <v>13890</v>
      </c>
      <c r="M475" s="365">
        <v>5669</v>
      </c>
      <c r="N475" s="365">
        <v>1523</v>
      </c>
      <c r="O475" s="366">
        <v>13390</v>
      </c>
      <c r="P475" s="366">
        <v>4902</v>
      </c>
      <c r="Q475" s="367">
        <v>2514</v>
      </c>
      <c r="R475" s="360"/>
      <c r="S475" s="367"/>
      <c r="T475" s="573">
        <f t="shared" si="33"/>
        <v>0</v>
      </c>
      <c r="U475" s="574">
        <f t="shared" si="34"/>
        <v>0</v>
      </c>
      <c r="V475" s="365"/>
      <c r="W475" s="366"/>
      <c r="X475" s="368"/>
      <c r="Y475" s="367"/>
      <c r="Z475" s="360"/>
      <c r="AA475" s="365"/>
      <c r="AB475" s="365"/>
      <c r="AC475" s="366"/>
      <c r="AD475" s="366"/>
      <c r="AE475" s="369"/>
      <c r="AF475" s="360"/>
      <c r="AG475" s="366"/>
    </row>
    <row r="476" spans="1:33">
      <c r="A476" s="406" t="s">
        <v>83</v>
      </c>
      <c r="B476" s="404" t="s">
        <v>477</v>
      </c>
      <c r="C476" s="405"/>
      <c r="D476" s="406">
        <v>226408</v>
      </c>
      <c r="E476" s="376">
        <v>9</v>
      </c>
      <c r="F476" s="571">
        <f t="shared" si="31"/>
        <v>87748</v>
      </c>
      <c r="G476" s="555">
        <f t="shared" si="32"/>
        <v>87306</v>
      </c>
      <c r="H476" s="365">
        <v>81099</v>
      </c>
      <c r="I476" s="366">
        <v>80631</v>
      </c>
      <c r="J476" s="365">
        <v>6649</v>
      </c>
      <c r="K476" s="367">
        <v>6675</v>
      </c>
      <c r="L476" s="360">
        <v>0</v>
      </c>
      <c r="M476" s="365">
        <v>0</v>
      </c>
      <c r="N476" s="365">
        <v>0</v>
      </c>
      <c r="O476" s="366">
        <v>0</v>
      </c>
      <c r="P476" s="366">
        <v>0</v>
      </c>
      <c r="Q476" s="367">
        <v>0</v>
      </c>
      <c r="R476" s="360"/>
      <c r="S476" s="367"/>
      <c r="T476" s="573">
        <f t="shared" si="33"/>
        <v>0</v>
      </c>
      <c r="U476" s="574">
        <f t="shared" si="34"/>
        <v>0</v>
      </c>
      <c r="V476" s="365"/>
      <c r="W476" s="366"/>
      <c r="X476" s="368"/>
      <c r="Y476" s="367"/>
      <c r="Z476" s="360"/>
      <c r="AA476" s="365"/>
      <c r="AB476" s="365"/>
      <c r="AC476" s="366"/>
      <c r="AD476" s="366"/>
      <c r="AE476" s="369"/>
      <c r="AF476" s="360"/>
      <c r="AG476" s="366"/>
    </row>
    <row r="477" spans="1:33">
      <c r="A477" s="406" t="s">
        <v>83</v>
      </c>
      <c r="B477" s="404" t="s">
        <v>478</v>
      </c>
      <c r="C477" s="405"/>
      <c r="D477" s="406">
        <v>225070</v>
      </c>
      <c r="E477" s="376">
        <v>9</v>
      </c>
      <c r="F477" s="571">
        <f t="shared" si="31"/>
        <v>111874</v>
      </c>
      <c r="G477" s="555">
        <f t="shared" si="32"/>
        <v>116342</v>
      </c>
      <c r="H477" s="365">
        <v>82611</v>
      </c>
      <c r="I477" s="366">
        <v>78792</v>
      </c>
      <c r="J477" s="365">
        <v>730</v>
      </c>
      <c r="K477" s="367">
        <v>2249</v>
      </c>
      <c r="L477" s="360">
        <v>26745</v>
      </c>
      <c r="M477" s="365">
        <v>0</v>
      </c>
      <c r="N477" s="365">
        <v>1788</v>
      </c>
      <c r="O477" s="366">
        <v>33174</v>
      </c>
      <c r="P477" s="366">
        <v>0</v>
      </c>
      <c r="Q477" s="367">
        <v>2127</v>
      </c>
      <c r="R477" s="360"/>
      <c r="S477" s="367"/>
      <c r="T477" s="573">
        <f t="shared" si="33"/>
        <v>0</v>
      </c>
      <c r="U477" s="574">
        <f t="shared" si="34"/>
        <v>0</v>
      </c>
      <c r="V477" s="365"/>
      <c r="W477" s="366"/>
      <c r="X477" s="368"/>
      <c r="Y477" s="367"/>
      <c r="Z477" s="360"/>
      <c r="AA477" s="365"/>
      <c r="AB477" s="365"/>
      <c r="AC477" s="366"/>
      <c r="AD477" s="366"/>
      <c r="AE477" s="369"/>
      <c r="AF477" s="360"/>
      <c r="AG477" s="366"/>
    </row>
    <row r="478" spans="1:33">
      <c r="A478" s="406" t="s">
        <v>83</v>
      </c>
      <c r="B478" s="404" t="s">
        <v>479</v>
      </c>
      <c r="C478" s="405"/>
      <c r="D478" s="406">
        <v>225371</v>
      </c>
      <c r="E478" s="376">
        <v>9</v>
      </c>
      <c r="F478" s="571">
        <f t="shared" si="31"/>
        <v>98493</v>
      </c>
      <c r="G478" s="555">
        <f t="shared" si="32"/>
        <v>94640</v>
      </c>
      <c r="H478" s="365">
        <v>19574</v>
      </c>
      <c r="I478" s="366">
        <v>20672</v>
      </c>
      <c r="J478" s="365">
        <v>45049</v>
      </c>
      <c r="K478" s="367">
        <v>40614</v>
      </c>
      <c r="L478" s="360">
        <v>31491</v>
      </c>
      <c r="M478" s="365">
        <v>2379</v>
      </c>
      <c r="N478" s="365">
        <v>0</v>
      </c>
      <c r="O478" s="366">
        <v>31389</v>
      </c>
      <c r="P478" s="366">
        <v>1965</v>
      </c>
      <c r="Q478" s="367">
        <v>0</v>
      </c>
      <c r="R478" s="360"/>
      <c r="S478" s="367"/>
      <c r="T478" s="573">
        <f t="shared" si="33"/>
        <v>0</v>
      </c>
      <c r="U478" s="574">
        <f t="shared" si="34"/>
        <v>0</v>
      </c>
      <c r="V478" s="365"/>
      <c r="W478" s="366"/>
      <c r="X478" s="368"/>
      <c r="Y478" s="367"/>
      <c r="Z478" s="360"/>
      <c r="AA478" s="365"/>
      <c r="AB478" s="365"/>
      <c r="AC478" s="366"/>
      <c r="AD478" s="366"/>
      <c r="AE478" s="369"/>
      <c r="AF478" s="360"/>
      <c r="AG478" s="366"/>
    </row>
    <row r="479" spans="1:33">
      <c r="A479" s="406" t="s">
        <v>83</v>
      </c>
      <c r="B479" s="404" t="s">
        <v>480</v>
      </c>
      <c r="C479" s="405"/>
      <c r="D479" s="406">
        <v>225520</v>
      </c>
      <c r="E479" s="376">
        <v>9</v>
      </c>
      <c r="F479" s="571">
        <f t="shared" si="31"/>
        <v>82912</v>
      </c>
      <c r="G479" s="555">
        <f t="shared" si="32"/>
        <v>87037</v>
      </c>
      <c r="H479" s="365">
        <v>21725</v>
      </c>
      <c r="I479" s="366">
        <v>19185</v>
      </c>
      <c r="J479" s="365">
        <v>39096</v>
      </c>
      <c r="K479" s="367">
        <v>38301</v>
      </c>
      <c r="L479" s="360">
        <v>18986</v>
      </c>
      <c r="M479" s="365">
        <v>3027</v>
      </c>
      <c r="N479" s="365">
        <v>78</v>
      </c>
      <c r="O479" s="366">
        <v>24526</v>
      </c>
      <c r="P479" s="366">
        <v>4773</v>
      </c>
      <c r="Q479" s="367">
        <v>252</v>
      </c>
      <c r="R479" s="360"/>
      <c r="S479" s="367"/>
      <c r="T479" s="573">
        <f t="shared" si="33"/>
        <v>0</v>
      </c>
      <c r="U479" s="574">
        <f t="shared" si="34"/>
        <v>0</v>
      </c>
      <c r="V479" s="365"/>
      <c r="W479" s="366"/>
      <c r="X479" s="368"/>
      <c r="Y479" s="367"/>
      <c r="Z479" s="360"/>
      <c r="AA479" s="365"/>
      <c r="AB479" s="365"/>
      <c r="AC479" s="366"/>
      <c r="AD479" s="366"/>
      <c r="AE479" s="369"/>
      <c r="AF479" s="360"/>
      <c r="AG479" s="366"/>
    </row>
    <row r="480" spans="1:33">
      <c r="A480" s="406" t="s">
        <v>83</v>
      </c>
      <c r="B480" s="420" t="s">
        <v>482</v>
      </c>
      <c r="C480" s="421"/>
      <c r="D480" s="418">
        <v>441760</v>
      </c>
      <c r="E480" s="422">
        <v>9</v>
      </c>
      <c r="F480" s="571">
        <f t="shared" si="31"/>
        <v>67440</v>
      </c>
      <c r="G480" s="555">
        <f t="shared" si="32"/>
        <v>64380</v>
      </c>
      <c r="H480" s="365">
        <v>60976</v>
      </c>
      <c r="I480" s="366">
        <v>60737</v>
      </c>
      <c r="J480" s="365">
        <v>2280</v>
      </c>
      <c r="K480" s="367">
        <v>1462</v>
      </c>
      <c r="L480" s="360">
        <v>4109</v>
      </c>
      <c r="M480" s="365">
        <v>75</v>
      </c>
      <c r="N480" s="365">
        <v>0</v>
      </c>
      <c r="O480" s="366">
        <v>2136</v>
      </c>
      <c r="P480" s="366">
        <v>45</v>
      </c>
      <c r="Q480" s="367">
        <v>0</v>
      </c>
      <c r="R480" s="360"/>
      <c r="S480" s="367"/>
      <c r="T480" s="573">
        <f t="shared" si="33"/>
        <v>0</v>
      </c>
      <c r="U480" s="574">
        <f t="shared" si="34"/>
        <v>0</v>
      </c>
      <c r="V480" s="365"/>
      <c r="W480" s="366"/>
      <c r="X480" s="368"/>
      <c r="Y480" s="367"/>
      <c r="Z480" s="360"/>
      <c r="AA480" s="365"/>
      <c r="AB480" s="365"/>
      <c r="AC480" s="366"/>
      <c r="AD480" s="366"/>
      <c r="AE480" s="369"/>
      <c r="AF480" s="360"/>
      <c r="AG480" s="366"/>
    </row>
    <row r="481" spans="1:33">
      <c r="A481" s="406" t="s">
        <v>83</v>
      </c>
      <c r="B481" s="404" t="s">
        <v>483</v>
      </c>
      <c r="C481" s="405"/>
      <c r="D481" s="406">
        <v>226204</v>
      </c>
      <c r="E481" s="376">
        <v>9</v>
      </c>
      <c r="F481" s="571">
        <f t="shared" si="31"/>
        <v>143743</v>
      </c>
      <c r="G481" s="555">
        <f t="shared" si="32"/>
        <v>140128</v>
      </c>
      <c r="H481" s="365">
        <v>112426</v>
      </c>
      <c r="I481" s="366">
        <v>108264</v>
      </c>
      <c r="J481" s="365">
        <v>20242</v>
      </c>
      <c r="K481" s="367">
        <v>16754</v>
      </c>
      <c r="L481" s="360">
        <v>6297</v>
      </c>
      <c r="M481" s="365">
        <v>0</v>
      </c>
      <c r="N481" s="365">
        <v>4778</v>
      </c>
      <c r="O481" s="366">
        <v>14790</v>
      </c>
      <c r="P481" s="366">
        <v>0</v>
      </c>
      <c r="Q481" s="367">
        <v>320</v>
      </c>
      <c r="R481" s="360"/>
      <c r="S481" s="367"/>
      <c r="T481" s="573">
        <f t="shared" si="33"/>
        <v>0</v>
      </c>
      <c r="U481" s="574">
        <f t="shared" si="34"/>
        <v>0</v>
      </c>
      <c r="V481" s="365"/>
      <c r="W481" s="366"/>
      <c r="X481" s="368"/>
      <c r="Y481" s="367"/>
      <c r="Z481" s="360"/>
      <c r="AA481" s="365"/>
      <c r="AB481" s="365"/>
      <c r="AC481" s="366"/>
      <c r="AD481" s="366"/>
      <c r="AE481" s="369"/>
      <c r="AF481" s="360"/>
      <c r="AG481" s="366"/>
    </row>
    <row r="482" spans="1:33">
      <c r="A482" s="406" t="s">
        <v>83</v>
      </c>
      <c r="B482" s="416" t="s">
        <v>484</v>
      </c>
      <c r="C482" s="417" t="s">
        <v>544</v>
      </c>
      <c r="D482" s="406">
        <v>226930</v>
      </c>
      <c r="E482" s="376">
        <v>9</v>
      </c>
      <c r="F482" s="571">
        <f t="shared" si="31"/>
        <v>146353</v>
      </c>
      <c r="G482" s="555">
        <f t="shared" si="32"/>
        <v>146492</v>
      </c>
      <c r="H482" s="365">
        <v>115141</v>
      </c>
      <c r="I482" s="366">
        <v>111995</v>
      </c>
      <c r="J482" s="365">
        <v>0</v>
      </c>
      <c r="K482" s="367">
        <v>0</v>
      </c>
      <c r="L482" s="360">
        <v>31212</v>
      </c>
      <c r="M482" s="365">
        <v>0</v>
      </c>
      <c r="N482" s="365">
        <v>0</v>
      </c>
      <c r="O482" s="366">
        <v>34497</v>
      </c>
      <c r="P482" s="366">
        <v>0</v>
      </c>
      <c r="Q482" s="367">
        <v>0</v>
      </c>
      <c r="R482" s="360"/>
      <c r="S482" s="367"/>
      <c r="T482" s="573">
        <f t="shared" si="33"/>
        <v>0</v>
      </c>
      <c r="U482" s="574">
        <f t="shared" si="34"/>
        <v>0</v>
      </c>
      <c r="V482" s="365"/>
      <c r="W482" s="366"/>
      <c r="X482" s="368"/>
      <c r="Y482" s="367"/>
      <c r="Z482" s="360"/>
      <c r="AA482" s="365"/>
      <c r="AB482" s="365"/>
      <c r="AC482" s="366"/>
      <c r="AD482" s="366"/>
      <c r="AE482" s="369"/>
      <c r="AF482" s="360"/>
      <c r="AG482" s="366"/>
    </row>
    <row r="483" spans="1:33">
      <c r="A483" s="406" t="s">
        <v>83</v>
      </c>
      <c r="B483" s="404" t="s">
        <v>504</v>
      </c>
      <c r="C483" s="431" t="s">
        <v>545</v>
      </c>
      <c r="D483" s="406">
        <v>227225</v>
      </c>
      <c r="E483" s="432">
        <v>9</v>
      </c>
      <c r="F483" s="571">
        <f t="shared" si="31"/>
        <v>69750</v>
      </c>
      <c r="G483" s="555">
        <f t="shared" si="32"/>
        <v>72602</v>
      </c>
      <c r="H483" s="365">
        <v>58103</v>
      </c>
      <c r="I483" s="366">
        <v>54188</v>
      </c>
      <c r="J483" s="365">
        <v>1080</v>
      </c>
      <c r="K483" s="367">
        <v>1129</v>
      </c>
      <c r="L483" s="360">
        <v>10420</v>
      </c>
      <c r="M483" s="365">
        <v>54</v>
      </c>
      <c r="N483" s="365">
        <v>93</v>
      </c>
      <c r="O483" s="366">
        <v>17027</v>
      </c>
      <c r="P483" s="366">
        <v>258</v>
      </c>
      <c r="Q483" s="367">
        <v>0</v>
      </c>
      <c r="R483" s="360"/>
      <c r="S483" s="367"/>
      <c r="T483" s="573">
        <f t="shared" si="33"/>
        <v>0</v>
      </c>
      <c r="U483" s="574">
        <f t="shared" si="34"/>
        <v>0</v>
      </c>
      <c r="V483" s="365"/>
      <c r="W483" s="366"/>
      <c r="X483" s="368"/>
      <c r="Y483" s="367"/>
      <c r="Z483" s="360"/>
      <c r="AA483" s="365"/>
      <c r="AB483" s="365"/>
      <c r="AC483" s="366"/>
      <c r="AD483" s="366"/>
      <c r="AE483" s="369"/>
      <c r="AF483" s="360"/>
      <c r="AG483" s="366"/>
    </row>
    <row r="484" spans="1:33">
      <c r="A484" s="406" t="s">
        <v>83</v>
      </c>
      <c r="B484" s="404" t="s">
        <v>485</v>
      </c>
      <c r="C484" s="405"/>
      <c r="D484" s="406">
        <v>227304</v>
      </c>
      <c r="E484" s="376">
        <v>9</v>
      </c>
      <c r="F484" s="571">
        <f t="shared" si="31"/>
        <v>100803</v>
      </c>
      <c r="G484" s="555">
        <f t="shared" si="32"/>
        <v>98768</v>
      </c>
      <c r="H484" s="365">
        <v>64766</v>
      </c>
      <c r="I484" s="366">
        <v>59110</v>
      </c>
      <c r="J484" s="365">
        <v>6608</v>
      </c>
      <c r="K484" s="367">
        <v>6877</v>
      </c>
      <c r="L484" s="360">
        <v>29429</v>
      </c>
      <c r="M484" s="365">
        <v>0</v>
      </c>
      <c r="N484" s="365">
        <v>0</v>
      </c>
      <c r="O484" s="366">
        <v>32466</v>
      </c>
      <c r="P484" s="366">
        <v>315</v>
      </c>
      <c r="Q484" s="367">
        <v>0</v>
      </c>
      <c r="R484" s="360"/>
      <c r="S484" s="367"/>
      <c r="T484" s="573">
        <f t="shared" si="33"/>
        <v>0</v>
      </c>
      <c r="U484" s="574">
        <f t="shared" si="34"/>
        <v>0</v>
      </c>
      <c r="V484" s="365"/>
      <c r="W484" s="366"/>
      <c r="X484" s="368"/>
      <c r="Y484" s="367"/>
      <c r="Z484" s="360"/>
      <c r="AA484" s="365"/>
      <c r="AB484" s="365"/>
      <c r="AC484" s="366"/>
      <c r="AD484" s="366"/>
      <c r="AE484" s="369"/>
      <c r="AF484" s="360"/>
      <c r="AG484" s="366"/>
    </row>
    <row r="485" spans="1:33">
      <c r="A485" s="406" t="s">
        <v>83</v>
      </c>
      <c r="B485" s="404" t="s">
        <v>486</v>
      </c>
      <c r="C485" s="405"/>
      <c r="D485" s="406">
        <v>227401</v>
      </c>
      <c r="E485" s="376">
        <v>9</v>
      </c>
      <c r="F485" s="571">
        <f t="shared" si="31"/>
        <v>131831</v>
      </c>
      <c r="G485" s="555">
        <f t="shared" si="32"/>
        <v>131884</v>
      </c>
      <c r="H485" s="365">
        <v>54350</v>
      </c>
      <c r="I485" s="366">
        <v>50395</v>
      </c>
      <c r="J485" s="365">
        <v>43436</v>
      </c>
      <c r="K485" s="367">
        <v>41866</v>
      </c>
      <c r="L485" s="360">
        <v>30541</v>
      </c>
      <c r="M485" s="365">
        <v>3504</v>
      </c>
      <c r="N485" s="365">
        <v>0</v>
      </c>
      <c r="O485" s="366">
        <v>36365</v>
      </c>
      <c r="P485" s="366">
        <v>3258</v>
      </c>
      <c r="Q485" s="367">
        <v>0</v>
      </c>
      <c r="R485" s="360"/>
      <c r="S485" s="367"/>
      <c r="T485" s="573">
        <f t="shared" si="33"/>
        <v>0</v>
      </c>
      <c r="U485" s="574">
        <f t="shared" si="34"/>
        <v>0</v>
      </c>
      <c r="V485" s="365"/>
      <c r="W485" s="366"/>
      <c r="X485" s="368"/>
      <c r="Y485" s="367"/>
      <c r="Z485" s="360"/>
      <c r="AA485" s="365"/>
      <c r="AB485" s="365"/>
      <c r="AC485" s="366"/>
      <c r="AD485" s="366"/>
      <c r="AE485" s="369"/>
      <c r="AF485" s="360"/>
      <c r="AG485" s="366"/>
    </row>
    <row r="486" spans="1:33">
      <c r="A486" s="406" t="s">
        <v>83</v>
      </c>
      <c r="B486" s="404" t="s">
        <v>487</v>
      </c>
      <c r="C486" s="405"/>
      <c r="D486" s="406">
        <v>228316</v>
      </c>
      <c r="E486" s="376">
        <v>9</v>
      </c>
      <c r="F486" s="571">
        <f t="shared" si="31"/>
        <v>118563</v>
      </c>
      <c r="G486" s="555">
        <f t="shared" si="32"/>
        <v>111605</v>
      </c>
      <c r="H486" s="365">
        <v>34470</v>
      </c>
      <c r="I486" s="366">
        <v>31767</v>
      </c>
      <c r="J486" s="365">
        <v>55135</v>
      </c>
      <c r="K486" s="367">
        <v>52200</v>
      </c>
      <c r="L486" s="360">
        <v>9453</v>
      </c>
      <c r="M486" s="365">
        <v>19505</v>
      </c>
      <c r="N486" s="365">
        <v>0</v>
      </c>
      <c r="O486" s="366">
        <v>9529</v>
      </c>
      <c r="P486" s="366">
        <v>18109</v>
      </c>
      <c r="Q486" s="367">
        <v>0</v>
      </c>
      <c r="R486" s="360"/>
      <c r="S486" s="367"/>
      <c r="T486" s="573">
        <f t="shared" si="33"/>
        <v>0</v>
      </c>
      <c r="U486" s="574">
        <f t="shared" si="34"/>
        <v>0</v>
      </c>
      <c r="V486" s="365"/>
      <c r="W486" s="366"/>
      <c r="X486" s="368"/>
      <c r="Y486" s="367"/>
      <c r="Z486" s="360"/>
      <c r="AA486" s="365"/>
      <c r="AB486" s="365"/>
      <c r="AC486" s="366"/>
      <c r="AD486" s="366"/>
      <c r="AE486" s="369"/>
      <c r="AF486" s="360"/>
      <c r="AG486" s="366"/>
    </row>
    <row r="487" spans="1:33">
      <c r="A487" s="406" t="s">
        <v>83</v>
      </c>
      <c r="B487" s="404" t="s">
        <v>488</v>
      </c>
      <c r="C487" s="405"/>
      <c r="D487" s="406">
        <v>228608</v>
      </c>
      <c r="E487" s="376">
        <v>9</v>
      </c>
      <c r="F487" s="571">
        <f t="shared" si="31"/>
        <v>122171</v>
      </c>
      <c r="G487" s="555">
        <f t="shared" si="32"/>
        <v>121557</v>
      </c>
      <c r="H487" s="365">
        <v>72437</v>
      </c>
      <c r="I487" s="366">
        <v>68990</v>
      </c>
      <c r="J487" s="365">
        <v>19413</v>
      </c>
      <c r="K487" s="367">
        <v>16971</v>
      </c>
      <c r="L487" s="360">
        <v>30309</v>
      </c>
      <c r="M487" s="365">
        <v>12</v>
      </c>
      <c r="N487" s="365">
        <v>0</v>
      </c>
      <c r="O487" s="366">
        <v>35556</v>
      </c>
      <c r="P487" s="366">
        <v>40</v>
      </c>
      <c r="Q487" s="367">
        <v>0</v>
      </c>
      <c r="R487" s="360"/>
      <c r="S487" s="367"/>
      <c r="T487" s="573">
        <f t="shared" si="33"/>
        <v>0</v>
      </c>
      <c r="U487" s="574">
        <f t="shared" si="34"/>
        <v>0</v>
      </c>
      <c r="V487" s="365"/>
      <c r="W487" s="366"/>
      <c r="X487" s="368"/>
      <c r="Y487" s="367"/>
      <c r="Z487" s="360"/>
      <c r="AA487" s="365"/>
      <c r="AB487" s="365"/>
      <c r="AC487" s="366"/>
      <c r="AD487" s="366"/>
      <c r="AE487" s="369"/>
      <c r="AF487" s="360"/>
      <c r="AG487" s="366"/>
    </row>
    <row r="488" spans="1:33">
      <c r="A488" s="406" t="s">
        <v>83</v>
      </c>
      <c r="B488" s="404" t="s">
        <v>489</v>
      </c>
      <c r="C488" s="405"/>
      <c r="D488" s="406">
        <v>228699</v>
      </c>
      <c r="E488" s="376">
        <v>9</v>
      </c>
      <c r="F488" s="571">
        <f t="shared" si="31"/>
        <v>94976</v>
      </c>
      <c r="G488" s="555">
        <f t="shared" si="32"/>
        <v>87487</v>
      </c>
      <c r="H488" s="365">
        <v>79221</v>
      </c>
      <c r="I488" s="366">
        <v>72119</v>
      </c>
      <c r="J488" s="365">
        <v>9444</v>
      </c>
      <c r="K488" s="367">
        <v>9863</v>
      </c>
      <c r="L488" s="360">
        <v>6263</v>
      </c>
      <c r="M488" s="365">
        <v>45</v>
      </c>
      <c r="N488" s="365">
        <v>3</v>
      </c>
      <c r="O488" s="366">
        <v>5478</v>
      </c>
      <c r="P488" s="366">
        <v>0</v>
      </c>
      <c r="Q488" s="367">
        <v>27</v>
      </c>
      <c r="R488" s="360"/>
      <c r="S488" s="367"/>
      <c r="T488" s="573">
        <f t="shared" si="33"/>
        <v>0</v>
      </c>
      <c r="U488" s="574">
        <f t="shared" si="34"/>
        <v>0</v>
      </c>
      <c r="V488" s="365"/>
      <c r="W488" s="366"/>
      <c r="X488" s="368"/>
      <c r="Y488" s="367"/>
      <c r="Z488" s="360"/>
      <c r="AA488" s="365"/>
      <c r="AB488" s="365"/>
      <c r="AC488" s="366"/>
      <c r="AD488" s="366"/>
      <c r="AE488" s="369"/>
      <c r="AF488" s="360"/>
      <c r="AG488" s="366"/>
    </row>
    <row r="489" spans="1:33">
      <c r="A489" s="406" t="s">
        <v>83</v>
      </c>
      <c r="B489" s="404" t="s">
        <v>490</v>
      </c>
      <c r="C489" s="405"/>
      <c r="D489" s="406">
        <v>229319</v>
      </c>
      <c r="E489" s="376">
        <v>9</v>
      </c>
      <c r="F489" s="571">
        <f t="shared" si="31"/>
        <v>136009</v>
      </c>
      <c r="G489" s="555">
        <f t="shared" si="32"/>
        <v>130391</v>
      </c>
      <c r="H489" s="365">
        <v>118614</v>
      </c>
      <c r="I489" s="366">
        <v>112274</v>
      </c>
      <c r="J489" s="365">
        <v>5614</v>
      </c>
      <c r="K489" s="367">
        <v>3901</v>
      </c>
      <c r="L489" s="360">
        <v>10659</v>
      </c>
      <c r="M489" s="365">
        <v>1122</v>
      </c>
      <c r="N489" s="365">
        <v>0</v>
      </c>
      <c r="O489" s="366">
        <v>13622</v>
      </c>
      <c r="P489" s="366">
        <v>594</v>
      </c>
      <c r="Q489" s="367">
        <v>0</v>
      </c>
      <c r="R489" s="360"/>
      <c r="S489" s="367"/>
      <c r="T489" s="573">
        <f t="shared" si="33"/>
        <v>0</v>
      </c>
      <c r="U489" s="574">
        <f t="shared" si="34"/>
        <v>0</v>
      </c>
      <c r="V489" s="365"/>
      <c r="W489" s="366"/>
      <c r="X489" s="368"/>
      <c r="Y489" s="367"/>
      <c r="Z489" s="360"/>
      <c r="AA489" s="365"/>
      <c r="AB489" s="365"/>
      <c r="AC489" s="366"/>
      <c r="AD489" s="366"/>
      <c r="AE489" s="369"/>
      <c r="AF489" s="360"/>
      <c r="AG489" s="366"/>
    </row>
    <row r="490" spans="1:33">
      <c r="A490" s="406" t="s">
        <v>83</v>
      </c>
      <c r="B490" s="404" t="s">
        <v>493</v>
      </c>
      <c r="C490" s="405"/>
      <c r="D490" s="406">
        <v>229504</v>
      </c>
      <c r="E490" s="376">
        <v>9</v>
      </c>
      <c r="F490" s="571">
        <f t="shared" si="31"/>
        <v>67813</v>
      </c>
      <c r="G490" s="555">
        <f t="shared" si="32"/>
        <v>67579</v>
      </c>
      <c r="H490" s="365">
        <v>9311</v>
      </c>
      <c r="I490" s="366">
        <v>9555</v>
      </c>
      <c r="J490" s="365">
        <v>31700</v>
      </c>
      <c r="K490" s="367">
        <v>32035</v>
      </c>
      <c r="L490" s="360">
        <v>20532</v>
      </c>
      <c r="M490" s="365">
        <v>6270</v>
      </c>
      <c r="N490" s="365">
        <v>0</v>
      </c>
      <c r="O490" s="366">
        <v>19314</v>
      </c>
      <c r="P490" s="366">
        <v>6675</v>
      </c>
      <c r="Q490" s="367">
        <v>0</v>
      </c>
      <c r="R490" s="360"/>
      <c r="S490" s="367"/>
      <c r="T490" s="573">
        <f t="shared" si="33"/>
        <v>0</v>
      </c>
      <c r="U490" s="574">
        <f t="shared" si="34"/>
        <v>0</v>
      </c>
      <c r="V490" s="365"/>
      <c r="W490" s="366"/>
      <c r="X490" s="368"/>
      <c r="Y490" s="367"/>
      <c r="Z490" s="360"/>
      <c r="AA490" s="365"/>
      <c r="AB490" s="365"/>
      <c r="AC490" s="366"/>
      <c r="AD490" s="366"/>
      <c r="AE490" s="369"/>
      <c r="AF490" s="360"/>
      <c r="AG490" s="366"/>
    </row>
    <row r="491" spans="1:33">
      <c r="A491" s="406" t="s">
        <v>83</v>
      </c>
      <c r="B491" s="404" t="s">
        <v>494</v>
      </c>
      <c r="C491" s="405"/>
      <c r="D491" s="406">
        <v>229540</v>
      </c>
      <c r="E491" s="376">
        <v>9</v>
      </c>
      <c r="F491" s="571">
        <f t="shared" si="31"/>
        <v>81880</v>
      </c>
      <c r="G491" s="555">
        <f t="shared" si="32"/>
        <v>85982</v>
      </c>
      <c r="H491" s="365">
        <v>55839</v>
      </c>
      <c r="I491" s="366">
        <v>56496</v>
      </c>
      <c r="J491" s="365">
        <v>5672</v>
      </c>
      <c r="K491" s="367">
        <v>5620</v>
      </c>
      <c r="L491" s="360">
        <v>16617</v>
      </c>
      <c r="M491" s="365">
        <v>3752</v>
      </c>
      <c r="N491" s="365">
        <v>0</v>
      </c>
      <c r="O491" s="366">
        <v>20026</v>
      </c>
      <c r="P491" s="366">
        <v>3791</v>
      </c>
      <c r="Q491" s="367">
        <v>49</v>
      </c>
      <c r="R491" s="360"/>
      <c r="S491" s="367"/>
      <c r="T491" s="573">
        <f t="shared" si="33"/>
        <v>0</v>
      </c>
      <c r="U491" s="574">
        <f t="shared" si="34"/>
        <v>0</v>
      </c>
      <c r="V491" s="365"/>
      <c r="W491" s="366"/>
      <c r="X491" s="368"/>
      <c r="Y491" s="367"/>
      <c r="Z491" s="360"/>
      <c r="AA491" s="365"/>
      <c r="AB491" s="365"/>
      <c r="AC491" s="366"/>
      <c r="AD491" s="366"/>
      <c r="AE491" s="369"/>
      <c r="AF491" s="360"/>
      <c r="AG491" s="366"/>
    </row>
    <row r="492" spans="1:33">
      <c r="A492" s="406" t="s">
        <v>83</v>
      </c>
      <c r="B492" s="404" t="s">
        <v>495</v>
      </c>
      <c r="C492" s="405"/>
      <c r="D492" s="406">
        <v>229799</v>
      </c>
      <c r="E492" s="376">
        <v>9</v>
      </c>
      <c r="F492" s="571">
        <f t="shared" si="31"/>
        <v>116501</v>
      </c>
      <c r="G492" s="555">
        <f t="shared" si="32"/>
        <v>115097</v>
      </c>
      <c r="H492" s="365">
        <v>83333</v>
      </c>
      <c r="I492" s="366">
        <v>74383</v>
      </c>
      <c r="J492" s="365">
        <v>12257</v>
      </c>
      <c r="K492" s="367">
        <v>12841</v>
      </c>
      <c r="L492" s="360">
        <v>20575</v>
      </c>
      <c r="M492" s="365">
        <v>336</v>
      </c>
      <c r="N492" s="365">
        <v>0</v>
      </c>
      <c r="O492" s="366">
        <v>25791</v>
      </c>
      <c r="P492" s="366">
        <v>2082</v>
      </c>
      <c r="Q492" s="367">
        <v>0</v>
      </c>
      <c r="R492" s="360"/>
      <c r="S492" s="367"/>
      <c r="T492" s="573">
        <f t="shared" si="33"/>
        <v>0</v>
      </c>
      <c r="U492" s="574">
        <f t="shared" si="34"/>
        <v>0</v>
      </c>
      <c r="V492" s="365"/>
      <c r="W492" s="366"/>
      <c r="X492" s="368"/>
      <c r="Y492" s="367"/>
      <c r="Z492" s="360"/>
      <c r="AA492" s="365"/>
      <c r="AB492" s="365"/>
      <c r="AC492" s="366"/>
      <c r="AD492" s="366"/>
      <c r="AE492" s="369"/>
      <c r="AF492" s="360"/>
      <c r="AG492" s="366"/>
    </row>
    <row r="493" spans="1:33">
      <c r="A493" s="406" t="s">
        <v>83</v>
      </c>
      <c r="B493" s="404" t="s">
        <v>496</v>
      </c>
      <c r="C493" s="405"/>
      <c r="D493" s="406">
        <v>229841</v>
      </c>
      <c r="E493" s="376">
        <v>9</v>
      </c>
      <c r="F493" s="571">
        <f t="shared" si="31"/>
        <v>145528</v>
      </c>
      <c r="G493" s="555">
        <f t="shared" si="32"/>
        <v>147021</v>
      </c>
      <c r="H493" s="365">
        <v>48270</v>
      </c>
      <c r="I493" s="366">
        <v>44106</v>
      </c>
      <c r="J493" s="365">
        <v>75606</v>
      </c>
      <c r="K493" s="367">
        <v>79773</v>
      </c>
      <c r="L493" s="360">
        <v>18772</v>
      </c>
      <c r="M493" s="365">
        <v>2880</v>
      </c>
      <c r="N493" s="365">
        <v>0</v>
      </c>
      <c r="O493" s="366">
        <v>20481</v>
      </c>
      <c r="P493" s="366">
        <v>2661</v>
      </c>
      <c r="Q493" s="367">
        <v>0</v>
      </c>
      <c r="R493" s="360"/>
      <c r="S493" s="367"/>
      <c r="T493" s="573">
        <f t="shared" si="33"/>
        <v>0</v>
      </c>
      <c r="U493" s="574">
        <f t="shared" si="34"/>
        <v>0</v>
      </c>
      <c r="V493" s="365"/>
      <c r="W493" s="366"/>
      <c r="X493" s="368"/>
      <c r="Y493" s="367"/>
      <c r="Z493" s="360"/>
      <c r="AA493" s="365"/>
      <c r="AB493" s="365"/>
      <c r="AC493" s="366"/>
      <c r="AD493" s="366"/>
      <c r="AE493" s="369"/>
      <c r="AF493" s="360"/>
      <c r="AG493" s="366"/>
    </row>
    <row r="494" spans="1:33">
      <c r="A494" s="406" t="s">
        <v>83</v>
      </c>
      <c r="B494" s="404" t="s">
        <v>497</v>
      </c>
      <c r="C494" s="405"/>
      <c r="D494" s="406">
        <v>223922</v>
      </c>
      <c r="E494" s="376">
        <v>10</v>
      </c>
      <c r="F494" s="571">
        <f t="shared" si="31"/>
        <v>35116</v>
      </c>
      <c r="G494" s="555">
        <f t="shared" si="32"/>
        <v>34696</v>
      </c>
      <c r="H494" s="365">
        <v>11447</v>
      </c>
      <c r="I494" s="366">
        <v>11028</v>
      </c>
      <c r="J494" s="365">
        <v>14515</v>
      </c>
      <c r="K494" s="367">
        <v>13298</v>
      </c>
      <c r="L494" s="360">
        <v>8487</v>
      </c>
      <c r="M494" s="365">
        <v>654</v>
      </c>
      <c r="N494" s="365">
        <v>13</v>
      </c>
      <c r="O494" s="366">
        <v>9736</v>
      </c>
      <c r="P494" s="366">
        <v>634</v>
      </c>
      <c r="Q494" s="367">
        <v>0</v>
      </c>
      <c r="R494" s="360"/>
      <c r="S494" s="367"/>
      <c r="T494" s="573">
        <f t="shared" si="33"/>
        <v>0</v>
      </c>
      <c r="U494" s="574">
        <f t="shared" si="34"/>
        <v>0</v>
      </c>
      <c r="V494" s="365"/>
      <c r="W494" s="366"/>
      <c r="X494" s="368"/>
      <c r="Y494" s="367"/>
      <c r="Z494" s="360"/>
      <c r="AA494" s="365"/>
      <c r="AB494" s="365"/>
      <c r="AC494" s="366"/>
      <c r="AD494" s="366"/>
      <c r="AE494" s="369"/>
      <c r="AF494" s="360"/>
      <c r="AG494" s="366"/>
    </row>
    <row r="495" spans="1:33">
      <c r="A495" s="406" t="s">
        <v>83</v>
      </c>
      <c r="B495" s="404" t="s">
        <v>498</v>
      </c>
      <c r="C495" s="405"/>
      <c r="D495" s="406">
        <v>224891</v>
      </c>
      <c r="E495" s="376">
        <v>10</v>
      </c>
      <c r="F495" s="571">
        <f t="shared" si="31"/>
        <v>25567</v>
      </c>
      <c r="G495" s="555">
        <f t="shared" si="32"/>
        <v>22512</v>
      </c>
      <c r="H495" s="365">
        <v>19199</v>
      </c>
      <c r="I495" s="366">
        <v>16689</v>
      </c>
      <c r="J495" s="365">
        <v>1479</v>
      </c>
      <c r="K495" s="367">
        <v>1635</v>
      </c>
      <c r="L495" s="360">
        <v>1989</v>
      </c>
      <c r="M495" s="365">
        <v>0</v>
      </c>
      <c r="N495" s="365">
        <v>2900</v>
      </c>
      <c r="O495" s="366">
        <v>1408</v>
      </c>
      <c r="P495" s="366">
        <v>0</v>
      </c>
      <c r="Q495" s="367">
        <v>2780</v>
      </c>
      <c r="R495" s="360"/>
      <c r="S495" s="367"/>
      <c r="T495" s="573">
        <f t="shared" si="33"/>
        <v>0</v>
      </c>
      <c r="U495" s="574">
        <f t="shared" si="34"/>
        <v>0</v>
      </c>
      <c r="V495" s="365"/>
      <c r="W495" s="366"/>
      <c r="X495" s="368"/>
      <c r="Y495" s="367"/>
      <c r="Z495" s="360"/>
      <c r="AA495" s="365"/>
      <c r="AB495" s="365"/>
      <c r="AC495" s="366"/>
      <c r="AD495" s="366"/>
      <c r="AE495" s="369"/>
      <c r="AF495" s="360"/>
      <c r="AG495" s="366"/>
    </row>
    <row r="496" spans="1:33">
      <c r="A496" s="406" t="s">
        <v>83</v>
      </c>
      <c r="B496" s="404" t="s">
        <v>499</v>
      </c>
      <c r="C496" s="405"/>
      <c r="D496" s="406">
        <v>224961</v>
      </c>
      <c r="E496" s="376">
        <v>10</v>
      </c>
      <c r="F496" s="571">
        <f t="shared" si="31"/>
        <v>46278</v>
      </c>
      <c r="G496" s="555">
        <f t="shared" si="32"/>
        <v>47892</v>
      </c>
      <c r="H496" s="365">
        <v>45591</v>
      </c>
      <c r="I496" s="366">
        <v>47375</v>
      </c>
      <c r="J496" s="365">
        <v>305</v>
      </c>
      <c r="K496" s="367">
        <v>421</v>
      </c>
      <c r="L496" s="360">
        <v>382</v>
      </c>
      <c r="M496" s="365">
        <v>0</v>
      </c>
      <c r="N496" s="365">
        <v>0</v>
      </c>
      <c r="O496" s="366">
        <v>0</v>
      </c>
      <c r="P496" s="366">
        <v>0</v>
      </c>
      <c r="Q496" s="367">
        <v>96</v>
      </c>
      <c r="R496" s="360"/>
      <c r="S496" s="367"/>
      <c r="T496" s="573">
        <f t="shared" si="33"/>
        <v>0</v>
      </c>
      <c r="U496" s="574">
        <f t="shared" si="34"/>
        <v>0</v>
      </c>
      <c r="V496" s="365"/>
      <c r="W496" s="366"/>
      <c r="X496" s="368"/>
      <c r="Y496" s="367"/>
      <c r="Z496" s="360"/>
      <c r="AA496" s="365"/>
      <c r="AB496" s="365"/>
      <c r="AC496" s="366"/>
      <c r="AD496" s="366"/>
      <c r="AE496" s="369"/>
      <c r="AF496" s="360"/>
      <c r="AG496" s="366"/>
    </row>
    <row r="497" spans="1:33">
      <c r="A497" s="406" t="s">
        <v>83</v>
      </c>
      <c r="B497" s="404" t="s">
        <v>500</v>
      </c>
      <c r="C497" s="405"/>
      <c r="D497" s="406">
        <v>226107</v>
      </c>
      <c r="E497" s="376">
        <v>10</v>
      </c>
      <c r="F497" s="571">
        <f t="shared" si="31"/>
        <v>53594</v>
      </c>
      <c r="G497" s="555">
        <f t="shared" si="32"/>
        <v>56026</v>
      </c>
      <c r="H497" s="365">
        <v>47495</v>
      </c>
      <c r="I497" s="366">
        <v>50964</v>
      </c>
      <c r="J497" s="365">
        <v>0</v>
      </c>
      <c r="K497" s="367">
        <v>0</v>
      </c>
      <c r="L497" s="360">
        <v>6099</v>
      </c>
      <c r="M497" s="365">
        <v>0</v>
      </c>
      <c r="N497" s="365">
        <v>0</v>
      </c>
      <c r="O497" s="366">
        <v>5020</v>
      </c>
      <c r="P497" s="366">
        <v>42</v>
      </c>
      <c r="Q497" s="367">
        <v>0</v>
      </c>
      <c r="R497" s="360"/>
      <c r="S497" s="367"/>
      <c r="T497" s="573">
        <f t="shared" si="33"/>
        <v>0</v>
      </c>
      <c r="U497" s="574">
        <f t="shared" si="34"/>
        <v>0</v>
      </c>
      <c r="V497" s="365"/>
      <c r="W497" s="366"/>
      <c r="X497" s="368"/>
      <c r="Y497" s="367"/>
      <c r="Z497" s="360"/>
      <c r="AA497" s="365"/>
      <c r="AB497" s="365"/>
      <c r="AC497" s="366"/>
      <c r="AD497" s="366"/>
      <c r="AE497" s="369"/>
      <c r="AF497" s="360"/>
      <c r="AG497" s="366"/>
    </row>
    <row r="498" spans="1:33">
      <c r="A498" s="406" t="s">
        <v>83</v>
      </c>
      <c r="B498" s="420" t="s">
        <v>501</v>
      </c>
      <c r="C498" s="421" t="s">
        <v>296</v>
      </c>
      <c r="D498" s="418">
        <v>226116</v>
      </c>
      <c r="E498" s="422">
        <v>10</v>
      </c>
      <c r="F498" s="571">
        <f t="shared" si="31"/>
        <v>50934</v>
      </c>
      <c r="G498" s="555">
        <f t="shared" si="32"/>
        <v>59265</v>
      </c>
      <c r="H498" s="365">
        <v>40162</v>
      </c>
      <c r="I498" s="366">
        <v>40622</v>
      </c>
      <c r="J498" s="365">
        <v>5413</v>
      </c>
      <c r="K498" s="367">
        <v>5436</v>
      </c>
      <c r="L498" s="360">
        <v>5359</v>
      </c>
      <c r="M498" s="365">
        <v>0</v>
      </c>
      <c r="N498" s="365">
        <v>0</v>
      </c>
      <c r="O498" s="366">
        <v>13207</v>
      </c>
      <c r="P498" s="366">
        <v>0</v>
      </c>
      <c r="Q498" s="367">
        <v>0</v>
      </c>
      <c r="R498" s="360"/>
      <c r="S498" s="367"/>
      <c r="T498" s="573">
        <f t="shared" si="33"/>
        <v>0</v>
      </c>
      <c r="U498" s="574">
        <f t="shared" si="34"/>
        <v>0</v>
      </c>
      <c r="V498" s="365"/>
      <c r="W498" s="366"/>
      <c r="X498" s="368"/>
      <c r="Y498" s="367"/>
      <c r="Z498" s="360"/>
      <c r="AA498" s="365"/>
      <c r="AB498" s="365"/>
      <c r="AC498" s="366"/>
      <c r="AD498" s="366"/>
      <c r="AE498" s="369"/>
      <c r="AF498" s="360"/>
      <c r="AG498" s="366"/>
    </row>
    <row r="499" spans="1:33">
      <c r="A499" s="406" t="s">
        <v>83</v>
      </c>
      <c r="B499" s="420" t="s">
        <v>502</v>
      </c>
      <c r="C499" s="421"/>
      <c r="D499" s="423" t="s">
        <v>503</v>
      </c>
      <c r="E499" s="422">
        <v>10</v>
      </c>
      <c r="F499" s="571">
        <f t="shared" si="31"/>
        <v>13983</v>
      </c>
      <c r="G499" s="555">
        <f t="shared" si="32"/>
        <v>13926</v>
      </c>
      <c r="H499" s="365">
        <v>13281</v>
      </c>
      <c r="I499" s="366">
        <v>13926</v>
      </c>
      <c r="J499" s="365">
        <v>0</v>
      </c>
      <c r="K499" s="367">
        <v>0</v>
      </c>
      <c r="L499" s="360">
        <v>702</v>
      </c>
      <c r="M499" s="365">
        <v>0</v>
      </c>
      <c r="N499" s="365">
        <v>0</v>
      </c>
      <c r="O499" s="366">
        <v>0</v>
      </c>
      <c r="P499" s="366">
        <v>0</v>
      </c>
      <c r="Q499" s="367">
        <v>0</v>
      </c>
      <c r="R499" s="360"/>
      <c r="S499" s="367"/>
      <c r="T499" s="573">
        <f t="shared" si="33"/>
        <v>0</v>
      </c>
      <c r="U499" s="574">
        <f t="shared" si="34"/>
        <v>0</v>
      </c>
      <c r="V499" s="365"/>
      <c r="W499" s="366"/>
      <c r="X499" s="368"/>
      <c r="Y499" s="367"/>
      <c r="Z499" s="360"/>
      <c r="AA499" s="365"/>
      <c r="AB499" s="365"/>
      <c r="AC499" s="366"/>
      <c r="AD499" s="366"/>
      <c r="AE499" s="369"/>
      <c r="AF499" s="360"/>
      <c r="AG499" s="366"/>
    </row>
    <row r="500" spans="1:33">
      <c r="A500" s="406" t="s">
        <v>83</v>
      </c>
      <c r="B500" s="404" t="s">
        <v>505</v>
      </c>
      <c r="C500" s="405"/>
      <c r="D500" s="406">
        <v>227386</v>
      </c>
      <c r="E500" s="376">
        <v>10</v>
      </c>
      <c r="F500" s="571">
        <f t="shared" si="31"/>
        <v>47697</v>
      </c>
      <c r="G500" s="555">
        <f t="shared" si="32"/>
        <v>51046</v>
      </c>
      <c r="H500" s="365">
        <v>25964</v>
      </c>
      <c r="I500" s="366">
        <v>26443</v>
      </c>
      <c r="J500" s="365">
        <v>8198</v>
      </c>
      <c r="K500" s="367">
        <v>8014</v>
      </c>
      <c r="L500" s="360">
        <v>12025</v>
      </c>
      <c r="M500" s="365">
        <v>1510</v>
      </c>
      <c r="N500" s="365">
        <v>0</v>
      </c>
      <c r="O500" s="366">
        <v>15623</v>
      </c>
      <c r="P500" s="366">
        <v>966</v>
      </c>
      <c r="Q500" s="367">
        <v>0</v>
      </c>
      <c r="R500" s="360"/>
      <c r="S500" s="367"/>
      <c r="T500" s="573">
        <f t="shared" si="33"/>
        <v>0</v>
      </c>
      <c r="U500" s="574">
        <f t="shared" si="34"/>
        <v>0</v>
      </c>
      <c r="V500" s="365"/>
      <c r="W500" s="366"/>
      <c r="X500" s="368"/>
      <c r="Y500" s="367"/>
      <c r="Z500" s="360"/>
      <c r="AA500" s="365"/>
      <c r="AB500" s="365"/>
      <c r="AC500" s="366"/>
      <c r="AD500" s="366"/>
      <c r="AE500" s="369"/>
      <c r="AF500" s="360"/>
      <c r="AG500" s="366"/>
    </row>
    <row r="501" spans="1:33">
      <c r="A501" s="406" t="s">
        <v>83</v>
      </c>
      <c r="B501" s="404" t="s">
        <v>506</v>
      </c>
      <c r="C501" s="405"/>
      <c r="D501" s="406">
        <v>227687</v>
      </c>
      <c r="E501" s="376">
        <v>10</v>
      </c>
      <c r="F501" s="571">
        <f t="shared" si="31"/>
        <v>26592</v>
      </c>
      <c r="G501" s="555">
        <f t="shared" si="32"/>
        <v>34840</v>
      </c>
      <c r="H501" s="365">
        <v>11005</v>
      </c>
      <c r="I501" s="366">
        <v>11537</v>
      </c>
      <c r="J501" s="365">
        <v>10096</v>
      </c>
      <c r="K501" s="367">
        <v>14855</v>
      </c>
      <c r="L501" s="360">
        <v>3932</v>
      </c>
      <c r="M501" s="365">
        <v>1493</v>
      </c>
      <c r="N501" s="365">
        <v>66</v>
      </c>
      <c r="O501" s="366">
        <v>6288</v>
      </c>
      <c r="P501" s="366">
        <v>2022</v>
      </c>
      <c r="Q501" s="367">
        <v>138</v>
      </c>
      <c r="R501" s="360"/>
      <c r="S501" s="367"/>
      <c r="T501" s="573">
        <f t="shared" si="33"/>
        <v>0</v>
      </c>
      <c r="U501" s="574">
        <f t="shared" si="34"/>
        <v>0</v>
      </c>
      <c r="V501" s="365"/>
      <c r="W501" s="366"/>
      <c r="X501" s="368"/>
      <c r="Y501" s="367"/>
      <c r="Z501" s="360"/>
      <c r="AA501" s="365"/>
      <c r="AB501" s="365"/>
      <c r="AC501" s="366"/>
      <c r="AD501" s="366"/>
      <c r="AE501" s="369"/>
      <c r="AF501" s="360"/>
      <c r="AG501" s="366"/>
    </row>
    <row r="502" spans="1:33">
      <c r="A502" s="406" t="s">
        <v>83</v>
      </c>
      <c r="B502" s="404" t="s">
        <v>507</v>
      </c>
      <c r="C502" s="405"/>
      <c r="D502" s="406">
        <v>382911</v>
      </c>
      <c r="E502" s="376">
        <v>10</v>
      </c>
      <c r="F502" s="571">
        <f t="shared" si="31"/>
        <v>2067</v>
      </c>
      <c r="G502" s="555">
        <f t="shared" si="32"/>
        <v>2719</v>
      </c>
      <c r="H502" s="365">
        <v>2004</v>
      </c>
      <c r="I502" s="366">
        <v>2589</v>
      </c>
      <c r="J502" s="365">
        <v>0</v>
      </c>
      <c r="K502" s="367">
        <v>20</v>
      </c>
      <c r="L502" s="360">
        <v>45</v>
      </c>
      <c r="M502" s="365">
        <v>0</v>
      </c>
      <c r="N502" s="365">
        <v>18</v>
      </c>
      <c r="O502" s="366">
        <v>101</v>
      </c>
      <c r="P502" s="366">
        <v>9</v>
      </c>
      <c r="Q502" s="367">
        <v>0</v>
      </c>
      <c r="R502" s="360"/>
      <c r="S502" s="367"/>
      <c r="T502" s="573">
        <f t="shared" si="33"/>
        <v>0</v>
      </c>
      <c r="U502" s="574">
        <f t="shared" si="34"/>
        <v>0</v>
      </c>
      <c r="V502" s="365"/>
      <c r="W502" s="366"/>
      <c r="X502" s="368"/>
      <c r="Y502" s="367"/>
      <c r="Z502" s="360"/>
      <c r="AA502" s="365"/>
      <c r="AB502" s="365"/>
      <c r="AC502" s="366"/>
      <c r="AD502" s="366"/>
      <c r="AE502" s="369"/>
      <c r="AF502" s="360"/>
      <c r="AG502" s="366"/>
    </row>
    <row r="503" spans="1:33">
      <c r="A503" s="406" t="s">
        <v>83</v>
      </c>
      <c r="B503" s="404" t="s">
        <v>508</v>
      </c>
      <c r="C503" s="405"/>
      <c r="D503" s="406">
        <v>408394</v>
      </c>
      <c r="E503" s="376">
        <v>10</v>
      </c>
      <c r="F503" s="571">
        <f t="shared" si="31"/>
        <v>23775</v>
      </c>
      <c r="G503" s="555">
        <f t="shared" si="32"/>
        <v>21457</v>
      </c>
      <c r="H503" s="380">
        <v>15272</v>
      </c>
      <c r="I503" s="381">
        <v>13718</v>
      </c>
      <c r="J503" s="380">
        <v>1222</v>
      </c>
      <c r="K503" s="382">
        <v>751</v>
      </c>
      <c r="L503" s="383">
        <v>7281</v>
      </c>
      <c r="M503" s="380">
        <v>0</v>
      </c>
      <c r="N503" s="380">
        <v>0</v>
      </c>
      <c r="O503" s="381">
        <v>6988</v>
      </c>
      <c r="P503" s="381">
        <v>0</v>
      </c>
      <c r="Q503" s="382">
        <v>0</v>
      </c>
      <c r="R503" s="360"/>
      <c r="S503" s="367"/>
      <c r="T503" s="573">
        <f t="shared" si="33"/>
        <v>0</v>
      </c>
      <c r="U503" s="574">
        <f t="shared" si="34"/>
        <v>0</v>
      </c>
      <c r="V503" s="365"/>
      <c r="W503" s="366"/>
      <c r="X503" s="368"/>
      <c r="Y503" s="367"/>
      <c r="Z503" s="360"/>
      <c r="AA503" s="365"/>
      <c r="AB503" s="365"/>
      <c r="AC503" s="366"/>
      <c r="AD503" s="366"/>
      <c r="AE503" s="369"/>
      <c r="AF503" s="360"/>
      <c r="AG503" s="366"/>
    </row>
    <row r="504" spans="1:33">
      <c r="A504" s="406" t="s">
        <v>83</v>
      </c>
      <c r="B504" s="404" t="s">
        <v>509</v>
      </c>
      <c r="C504" s="405"/>
      <c r="D504" s="406">
        <v>229328</v>
      </c>
      <c r="E504" s="376">
        <v>10</v>
      </c>
      <c r="F504" s="571">
        <f t="shared" si="31"/>
        <v>38675</v>
      </c>
      <c r="G504" s="555">
        <f t="shared" si="32"/>
        <v>25208</v>
      </c>
      <c r="H504" s="380">
        <v>11530</v>
      </c>
      <c r="I504" s="381">
        <v>6827</v>
      </c>
      <c r="J504" s="380">
        <v>8032</v>
      </c>
      <c r="K504" s="382">
        <v>6219</v>
      </c>
      <c r="L504" s="383">
        <v>19104</v>
      </c>
      <c r="M504" s="380">
        <v>9</v>
      </c>
      <c r="N504" s="380">
        <v>0</v>
      </c>
      <c r="O504" s="381">
        <v>12162</v>
      </c>
      <c r="P504" s="381">
        <v>0</v>
      </c>
      <c r="Q504" s="382">
        <v>0</v>
      </c>
      <c r="R504" s="360"/>
      <c r="S504" s="367"/>
      <c r="T504" s="573">
        <f t="shared" si="33"/>
        <v>0</v>
      </c>
      <c r="U504" s="574">
        <f t="shared" si="34"/>
        <v>0</v>
      </c>
      <c r="V504" s="365"/>
      <c r="W504" s="366"/>
      <c r="X504" s="368"/>
      <c r="Y504" s="367"/>
      <c r="Z504" s="360"/>
      <c r="AA504" s="365"/>
      <c r="AB504" s="365"/>
      <c r="AC504" s="366"/>
      <c r="AD504" s="366"/>
      <c r="AE504" s="369"/>
      <c r="AF504" s="360"/>
      <c r="AG504" s="366"/>
    </row>
    <row r="505" spans="1:33">
      <c r="A505" s="406" t="s">
        <v>83</v>
      </c>
      <c r="B505" s="404" t="s">
        <v>510</v>
      </c>
      <c r="C505" s="405"/>
      <c r="D505" s="406">
        <v>229832</v>
      </c>
      <c r="E505" s="376">
        <v>10</v>
      </c>
      <c r="F505" s="571">
        <f t="shared" si="31"/>
        <v>47076</v>
      </c>
      <c r="G505" s="555">
        <f t="shared" si="32"/>
        <v>46461</v>
      </c>
      <c r="H505" s="380">
        <v>12932</v>
      </c>
      <c r="I505" s="381">
        <v>13504</v>
      </c>
      <c r="J505" s="380">
        <v>8828</v>
      </c>
      <c r="K505" s="382">
        <v>8551</v>
      </c>
      <c r="L505" s="383">
        <v>19628</v>
      </c>
      <c r="M505" s="380">
        <v>5592</v>
      </c>
      <c r="N505" s="380">
        <v>96</v>
      </c>
      <c r="O505" s="381">
        <v>19717</v>
      </c>
      <c r="P505" s="381">
        <v>4524</v>
      </c>
      <c r="Q505" s="382">
        <v>165</v>
      </c>
      <c r="R505" s="360"/>
      <c r="S505" s="367"/>
      <c r="T505" s="573">
        <f t="shared" si="33"/>
        <v>0</v>
      </c>
      <c r="U505" s="574">
        <f t="shared" si="34"/>
        <v>0</v>
      </c>
      <c r="V505" s="365"/>
      <c r="W505" s="366"/>
      <c r="X505" s="368"/>
      <c r="Y505" s="367"/>
      <c r="Z505" s="360"/>
      <c r="AA505" s="365"/>
      <c r="AB505" s="365"/>
      <c r="AC505" s="366"/>
      <c r="AD505" s="366"/>
      <c r="AE505" s="369"/>
      <c r="AF505" s="360"/>
      <c r="AG505" s="366"/>
    </row>
    <row r="506" spans="1:33">
      <c r="A506" s="406" t="s">
        <v>83</v>
      </c>
      <c r="B506" s="404" t="s">
        <v>511</v>
      </c>
      <c r="C506" s="405" t="s">
        <v>541</v>
      </c>
      <c r="D506" s="424"/>
      <c r="E506" s="412">
        <v>99</v>
      </c>
      <c r="F506" s="571">
        <f t="shared" si="31"/>
        <v>31104</v>
      </c>
      <c r="G506" s="555">
        <f t="shared" si="32"/>
        <v>31115</v>
      </c>
      <c r="H506" s="365">
        <v>19069</v>
      </c>
      <c r="I506" s="366">
        <v>10845</v>
      </c>
      <c r="J506" s="365">
        <v>2718</v>
      </c>
      <c r="K506" s="367">
        <v>9489</v>
      </c>
      <c r="L506" s="360">
        <v>8919</v>
      </c>
      <c r="M506" s="365">
        <v>398</v>
      </c>
      <c r="N506" s="365">
        <v>0</v>
      </c>
      <c r="O506" s="366">
        <v>10514</v>
      </c>
      <c r="P506" s="366">
        <v>267</v>
      </c>
      <c r="Q506" s="367">
        <v>0</v>
      </c>
      <c r="R506" s="360"/>
      <c r="S506" s="367"/>
      <c r="T506" s="573">
        <f t="shared" si="33"/>
        <v>12184</v>
      </c>
      <c r="U506" s="574">
        <f t="shared" si="34"/>
        <v>11486</v>
      </c>
      <c r="V506" s="365">
        <v>9961</v>
      </c>
      <c r="W506" s="366">
        <v>7625</v>
      </c>
      <c r="X506" s="368">
        <v>264</v>
      </c>
      <c r="Y506" s="367">
        <v>1275</v>
      </c>
      <c r="Z506" s="360">
        <v>1959</v>
      </c>
      <c r="AA506" s="365">
        <v>0</v>
      </c>
      <c r="AB506" s="365">
        <v>0</v>
      </c>
      <c r="AC506" s="366">
        <v>2586</v>
      </c>
      <c r="AD506" s="366">
        <v>0</v>
      </c>
      <c r="AE506" s="369">
        <v>0</v>
      </c>
      <c r="AF506" s="360"/>
      <c r="AG506" s="366"/>
    </row>
    <row r="507" spans="1:33">
      <c r="A507" s="406" t="s">
        <v>83</v>
      </c>
      <c r="B507" s="404" t="s">
        <v>512</v>
      </c>
      <c r="C507" s="405" t="s">
        <v>542</v>
      </c>
      <c r="D507" s="406" t="s">
        <v>513</v>
      </c>
      <c r="E507" s="412">
        <v>99</v>
      </c>
      <c r="F507" s="571">
        <f t="shared" si="31"/>
        <v>46866</v>
      </c>
      <c r="G507" s="555">
        <f t="shared" si="32"/>
        <v>54033</v>
      </c>
      <c r="H507" s="365">
        <v>45537</v>
      </c>
      <c r="I507" s="366">
        <v>31707</v>
      </c>
      <c r="J507" s="365">
        <v>306</v>
      </c>
      <c r="K507" s="367">
        <v>3148</v>
      </c>
      <c r="L507" s="360">
        <v>1023</v>
      </c>
      <c r="M507" s="365">
        <v>0</v>
      </c>
      <c r="N507" s="365">
        <v>0</v>
      </c>
      <c r="O507" s="366">
        <v>19178</v>
      </c>
      <c r="P507" s="366">
        <v>0</v>
      </c>
      <c r="Q507" s="367">
        <v>0</v>
      </c>
      <c r="R507" s="360"/>
      <c r="S507" s="367"/>
      <c r="T507" s="573">
        <f t="shared" si="33"/>
        <v>12635</v>
      </c>
      <c r="U507" s="574">
        <f t="shared" si="34"/>
        <v>14881</v>
      </c>
      <c r="V507" s="365">
        <v>12463</v>
      </c>
      <c r="W507" s="366">
        <v>4422</v>
      </c>
      <c r="X507" s="368">
        <v>0</v>
      </c>
      <c r="Y507" s="367">
        <v>966</v>
      </c>
      <c r="Z507" s="360">
        <v>172</v>
      </c>
      <c r="AA507" s="365">
        <v>0</v>
      </c>
      <c r="AB507" s="365">
        <v>0</v>
      </c>
      <c r="AC507" s="366">
        <v>9493</v>
      </c>
      <c r="AD507" s="366">
        <v>0</v>
      </c>
      <c r="AE507" s="369">
        <v>0</v>
      </c>
      <c r="AF507" s="360"/>
      <c r="AG507" s="366"/>
    </row>
    <row r="508" spans="1:33">
      <c r="A508" s="406" t="s">
        <v>83</v>
      </c>
      <c r="B508" s="404" t="s">
        <v>514</v>
      </c>
      <c r="C508" s="405" t="s">
        <v>515</v>
      </c>
      <c r="D508" s="424"/>
      <c r="E508" s="412">
        <v>99</v>
      </c>
      <c r="F508" s="571">
        <f t="shared" si="31"/>
        <v>27801</v>
      </c>
      <c r="G508" s="555">
        <f t="shared" si="32"/>
        <v>31544</v>
      </c>
      <c r="H508" s="365">
        <v>27657</v>
      </c>
      <c r="I508" s="366">
        <v>30845</v>
      </c>
      <c r="J508" s="365">
        <v>144</v>
      </c>
      <c r="K508" s="367">
        <v>228</v>
      </c>
      <c r="L508" s="360">
        <v>0</v>
      </c>
      <c r="M508" s="365">
        <v>0</v>
      </c>
      <c r="N508" s="365">
        <v>0</v>
      </c>
      <c r="O508" s="366">
        <v>471</v>
      </c>
      <c r="P508" s="366">
        <v>0</v>
      </c>
      <c r="Q508" s="367">
        <v>0</v>
      </c>
      <c r="R508" s="360"/>
      <c r="S508" s="367"/>
      <c r="T508" s="573">
        <f t="shared" si="33"/>
        <v>4498</v>
      </c>
      <c r="U508" s="574">
        <f t="shared" si="34"/>
        <v>3852</v>
      </c>
      <c r="V508" s="365">
        <v>4090</v>
      </c>
      <c r="W508" s="366">
        <v>3765</v>
      </c>
      <c r="X508" s="368">
        <v>312</v>
      </c>
      <c r="Y508" s="367">
        <v>48</v>
      </c>
      <c r="Z508" s="360">
        <v>0</v>
      </c>
      <c r="AA508" s="365">
        <v>96</v>
      </c>
      <c r="AB508" s="365">
        <v>0</v>
      </c>
      <c r="AC508" s="366">
        <v>39</v>
      </c>
      <c r="AD508" s="366">
        <v>0</v>
      </c>
      <c r="AE508" s="369">
        <v>0</v>
      </c>
      <c r="AF508" s="360"/>
      <c r="AG508" s="366"/>
    </row>
    <row r="509" spans="1:33">
      <c r="A509" s="503" t="s">
        <v>84</v>
      </c>
      <c r="B509" s="501" t="s">
        <v>744</v>
      </c>
      <c r="C509" s="516"/>
      <c r="D509" s="512">
        <v>232186</v>
      </c>
      <c r="E509" s="513">
        <v>1</v>
      </c>
      <c r="F509" s="571">
        <f t="shared" si="31"/>
        <v>546706.5</v>
      </c>
      <c r="G509" s="555">
        <f t="shared" si="32"/>
        <v>570979.5</v>
      </c>
      <c r="H509" s="505">
        <v>521158</v>
      </c>
      <c r="I509" s="506">
        <v>534505</v>
      </c>
      <c r="J509" s="505">
        <v>11373.5</v>
      </c>
      <c r="K509" s="507">
        <v>16202.5</v>
      </c>
      <c r="L509" s="504">
        <v>13560</v>
      </c>
      <c r="M509" s="505">
        <v>615</v>
      </c>
      <c r="N509" s="505">
        <v>0</v>
      </c>
      <c r="O509" s="506">
        <v>17092</v>
      </c>
      <c r="P509" s="506">
        <v>3180</v>
      </c>
      <c r="Q509" s="507"/>
      <c r="R509" s="504"/>
      <c r="S509" s="507"/>
      <c r="T509" s="573">
        <f t="shared" si="33"/>
        <v>170127.99999999889</v>
      </c>
      <c r="U509" s="574">
        <f t="shared" si="34"/>
        <v>177232.5</v>
      </c>
      <c r="V509" s="505">
        <v>136925.399999999</v>
      </c>
      <c r="W509" s="506">
        <v>136496.5</v>
      </c>
      <c r="X509" s="508">
        <v>23855.5999999999</v>
      </c>
      <c r="Y509" s="507">
        <v>31841.5</v>
      </c>
      <c r="Z509" s="504">
        <v>7947.5</v>
      </c>
      <c r="AA509" s="505">
        <v>1399.5</v>
      </c>
      <c r="AB509" s="505">
        <v>0</v>
      </c>
      <c r="AC509" s="506">
        <v>6907.5</v>
      </c>
      <c r="AD509" s="506">
        <v>1987</v>
      </c>
      <c r="AE509" s="509"/>
      <c r="AF509" s="504">
        <v>0</v>
      </c>
      <c r="AG509" s="506"/>
    </row>
    <row r="510" spans="1:33">
      <c r="A510" s="503" t="s">
        <v>84</v>
      </c>
      <c r="B510" s="501" t="s">
        <v>745</v>
      </c>
      <c r="C510" s="510"/>
      <c r="D510" s="512">
        <v>232982</v>
      </c>
      <c r="E510" s="513">
        <v>1</v>
      </c>
      <c r="F510" s="571">
        <f t="shared" si="31"/>
        <v>484643</v>
      </c>
      <c r="G510" s="555">
        <f t="shared" si="32"/>
        <v>501823</v>
      </c>
      <c r="H510" s="505">
        <v>424035</v>
      </c>
      <c r="I510" s="506">
        <v>436372</v>
      </c>
      <c r="J510" s="505">
        <v>423</v>
      </c>
      <c r="K510" s="507">
        <v>1200</v>
      </c>
      <c r="L510" s="504">
        <v>25379</v>
      </c>
      <c r="M510" s="505">
        <v>34806</v>
      </c>
      <c r="N510" s="505">
        <v>0</v>
      </c>
      <c r="O510" s="506">
        <v>31568</v>
      </c>
      <c r="P510" s="506">
        <v>32683</v>
      </c>
      <c r="Q510" s="507"/>
      <c r="R510" s="504"/>
      <c r="S510" s="507"/>
      <c r="T510" s="573">
        <f t="shared" si="33"/>
        <v>78185</v>
      </c>
      <c r="U510" s="574">
        <f t="shared" si="34"/>
        <v>76119</v>
      </c>
      <c r="V510" s="505">
        <v>53943</v>
      </c>
      <c r="W510" s="506">
        <v>51385</v>
      </c>
      <c r="X510" s="508">
        <v>1906</v>
      </c>
      <c r="Y510" s="507">
        <v>3593</v>
      </c>
      <c r="Z510" s="504">
        <v>10525</v>
      </c>
      <c r="AA510" s="505">
        <v>11811</v>
      </c>
      <c r="AB510" s="505">
        <v>0</v>
      </c>
      <c r="AC510" s="506">
        <v>9636</v>
      </c>
      <c r="AD510" s="506">
        <v>11505</v>
      </c>
      <c r="AE510" s="509"/>
      <c r="AF510" s="504">
        <v>0</v>
      </c>
      <c r="AG510" s="506"/>
    </row>
    <row r="511" spans="1:33">
      <c r="A511" s="503" t="s">
        <v>84</v>
      </c>
      <c r="B511" s="501" t="s">
        <v>746</v>
      </c>
      <c r="C511" s="510"/>
      <c r="D511" s="512">
        <v>234076</v>
      </c>
      <c r="E511" s="513">
        <v>1</v>
      </c>
      <c r="F511" s="571">
        <f t="shared" si="31"/>
        <v>462973</v>
      </c>
      <c r="G511" s="555">
        <f t="shared" si="32"/>
        <v>467835.5</v>
      </c>
      <c r="H511" s="505">
        <v>418800</v>
      </c>
      <c r="I511" s="506">
        <v>424751.5</v>
      </c>
      <c r="J511" s="505">
        <v>41409</v>
      </c>
      <c r="K511" s="507">
        <v>39412</v>
      </c>
      <c r="L511" s="504">
        <v>2764</v>
      </c>
      <c r="M511" s="505">
        <v>0</v>
      </c>
      <c r="N511" s="505">
        <v>0</v>
      </c>
      <c r="O511" s="506">
        <v>3672</v>
      </c>
      <c r="P511" s="506">
        <v>0</v>
      </c>
      <c r="Q511" s="507"/>
      <c r="R511" s="504"/>
      <c r="S511" s="507"/>
      <c r="T511" s="573">
        <f t="shared" si="33"/>
        <v>202178.899999999</v>
      </c>
      <c r="U511" s="574">
        <f t="shared" si="34"/>
        <v>203119</v>
      </c>
      <c r="V511" s="505">
        <v>172639.899999999</v>
      </c>
      <c r="W511" s="506">
        <v>176415</v>
      </c>
      <c r="X511" s="508">
        <v>20521</v>
      </c>
      <c r="Y511" s="507">
        <v>19000</v>
      </c>
      <c r="Z511" s="504">
        <v>8112</v>
      </c>
      <c r="AA511" s="505">
        <v>906</v>
      </c>
      <c r="AB511" s="505">
        <v>0</v>
      </c>
      <c r="AC511" s="506">
        <v>7227</v>
      </c>
      <c r="AD511" s="506">
        <v>477</v>
      </c>
      <c r="AE511" s="509"/>
      <c r="AF511" s="504">
        <v>0</v>
      </c>
      <c r="AG511" s="506"/>
    </row>
    <row r="512" spans="1:33">
      <c r="A512" s="503" t="s">
        <v>84</v>
      </c>
      <c r="B512" s="501" t="s">
        <v>747</v>
      </c>
      <c r="C512" s="510"/>
      <c r="D512" s="512">
        <v>233921</v>
      </c>
      <c r="E512" s="513">
        <v>1</v>
      </c>
      <c r="F512" s="571">
        <f t="shared" si="31"/>
        <v>745331</v>
      </c>
      <c r="G512" s="555">
        <f t="shared" si="32"/>
        <v>748965</v>
      </c>
      <c r="H512" s="505">
        <v>735345</v>
      </c>
      <c r="I512" s="506">
        <v>737571</v>
      </c>
      <c r="J512" s="505">
        <v>398</v>
      </c>
      <c r="K512" s="507">
        <v>287</v>
      </c>
      <c r="L512" s="504">
        <v>8610</v>
      </c>
      <c r="M512" s="505">
        <v>978</v>
      </c>
      <c r="N512" s="505">
        <v>0</v>
      </c>
      <c r="O512" s="506">
        <v>9529</v>
      </c>
      <c r="P512" s="506">
        <v>1578</v>
      </c>
      <c r="Q512" s="507"/>
      <c r="R512" s="504"/>
      <c r="S512" s="507"/>
      <c r="T512" s="573">
        <f t="shared" si="33"/>
        <v>145263</v>
      </c>
      <c r="U512" s="574">
        <f t="shared" si="34"/>
        <v>146962</v>
      </c>
      <c r="V512" s="505">
        <v>109969</v>
      </c>
      <c r="W512" s="506">
        <v>110934</v>
      </c>
      <c r="X512" s="508">
        <v>20486</v>
      </c>
      <c r="Y512" s="507">
        <v>21163</v>
      </c>
      <c r="Z512" s="504">
        <v>10227</v>
      </c>
      <c r="AA512" s="505">
        <v>4581</v>
      </c>
      <c r="AB512" s="505">
        <v>0</v>
      </c>
      <c r="AC512" s="506">
        <v>9078</v>
      </c>
      <c r="AD512" s="506">
        <v>5787</v>
      </c>
      <c r="AE512" s="509"/>
      <c r="AF512" s="504">
        <v>0</v>
      </c>
      <c r="AG512" s="506"/>
    </row>
    <row r="513" spans="1:33">
      <c r="A513" s="503" t="s">
        <v>84</v>
      </c>
      <c r="B513" s="501" t="s">
        <v>748</v>
      </c>
      <c r="C513" s="510"/>
      <c r="D513" s="512">
        <v>231624</v>
      </c>
      <c r="E513" s="513">
        <v>2</v>
      </c>
      <c r="F513" s="571">
        <f t="shared" si="31"/>
        <v>169436.5</v>
      </c>
      <c r="G513" s="555">
        <f t="shared" si="32"/>
        <v>175401</v>
      </c>
      <c r="H513" s="505">
        <v>168765.5</v>
      </c>
      <c r="I513" s="506">
        <v>174378</v>
      </c>
      <c r="J513" s="505">
        <v>671</v>
      </c>
      <c r="K513" s="507">
        <v>1023</v>
      </c>
      <c r="L513" s="504">
        <v>0</v>
      </c>
      <c r="M513" s="505">
        <v>0</v>
      </c>
      <c r="N513" s="505">
        <v>0</v>
      </c>
      <c r="O513" s="506">
        <v>0</v>
      </c>
      <c r="P513" s="506">
        <v>0</v>
      </c>
      <c r="Q513" s="507"/>
      <c r="R513" s="504"/>
      <c r="S513" s="507"/>
      <c r="T513" s="573">
        <f t="shared" si="33"/>
        <v>54173</v>
      </c>
      <c r="U513" s="574">
        <f t="shared" si="34"/>
        <v>54763.5</v>
      </c>
      <c r="V513" s="505">
        <v>50819</v>
      </c>
      <c r="W513" s="506">
        <v>49512</v>
      </c>
      <c r="X513" s="508">
        <v>3354</v>
      </c>
      <c r="Y513" s="507">
        <v>5251.5</v>
      </c>
      <c r="Z513" s="504">
        <v>0</v>
      </c>
      <c r="AA513" s="505">
        <v>0</v>
      </c>
      <c r="AB513" s="505">
        <v>0</v>
      </c>
      <c r="AC513" s="506">
        <v>0</v>
      </c>
      <c r="AD513" s="506">
        <v>0</v>
      </c>
      <c r="AE513" s="509"/>
      <c r="AF513" s="504">
        <v>0</v>
      </c>
      <c r="AG513" s="506"/>
    </row>
    <row r="514" spans="1:33">
      <c r="A514" s="503" t="s">
        <v>84</v>
      </c>
      <c r="B514" s="501" t="s">
        <v>749</v>
      </c>
      <c r="C514" s="510" t="s">
        <v>782</v>
      </c>
      <c r="D514" s="512">
        <v>234030</v>
      </c>
      <c r="E514" s="513">
        <v>2</v>
      </c>
      <c r="F514" s="571">
        <f t="shared" si="31"/>
        <v>648362.5</v>
      </c>
      <c r="G514" s="555">
        <f t="shared" si="32"/>
        <v>650106.5</v>
      </c>
      <c r="H514" s="505">
        <v>624894.5</v>
      </c>
      <c r="I514" s="506">
        <v>618488.5</v>
      </c>
      <c r="J514" s="505">
        <v>7888</v>
      </c>
      <c r="K514" s="507">
        <v>7338</v>
      </c>
      <c r="L514" s="504">
        <v>15580</v>
      </c>
      <c r="M514" s="505">
        <v>0</v>
      </c>
      <c r="N514" s="505">
        <v>0</v>
      </c>
      <c r="O514" s="506">
        <v>24280</v>
      </c>
      <c r="P514" s="506">
        <v>0</v>
      </c>
      <c r="Q514" s="507"/>
      <c r="R514" s="504"/>
      <c r="S514" s="507"/>
      <c r="T514" s="573">
        <f t="shared" si="33"/>
        <v>146465.5</v>
      </c>
      <c r="U514" s="574">
        <f t="shared" si="34"/>
        <v>140788</v>
      </c>
      <c r="V514" s="505">
        <v>121330.5</v>
      </c>
      <c r="W514" s="506">
        <v>118096</v>
      </c>
      <c r="X514" s="508">
        <v>17085</v>
      </c>
      <c r="Y514" s="507">
        <v>12821</v>
      </c>
      <c r="Z514" s="504">
        <v>8050</v>
      </c>
      <c r="AA514" s="505">
        <v>0</v>
      </c>
      <c r="AB514" s="505">
        <v>0</v>
      </c>
      <c r="AC514" s="506">
        <v>9871</v>
      </c>
      <c r="AD514" s="506">
        <v>0</v>
      </c>
      <c r="AE514" s="509"/>
      <c r="AF514" s="504">
        <v>0</v>
      </c>
      <c r="AG514" s="506"/>
    </row>
    <row r="515" spans="1:33">
      <c r="A515" s="503" t="s">
        <v>84</v>
      </c>
      <c r="B515" s="501" t="s">
        <v>750</v>
      </c>
      <c r="C515" s="510"/>
      <c r="D515" s="512">
        <v>232423</v>
      </c>
      <c r="E515" s="513">
        <v>3</v>
      </c>
      <c r="F515" s="571">
        <f t="shared" si="31"/>
        <v>522097</v>
      </c>
      <c r="G515" s="555">
        <f t="shared" si="32"/>
        <v>533881</v>
      </c>
      <c r="H515" s="505">
        <v>505528</v>
      </c>
      <c r="I515" s="506">
        <v>507922</v>
      </c>
      <c r="J515" s="505">
        <v>7300</v>
      </c>
      <c r="K515" s="507">
        <v>10157</v>
      </c>
      <c r="L515" s="504">
        <v>9269</v>
      </c>
      <c r="M515" s="505">
        <v>0</v>
      </c>
      <c r="N515" s="505">
        <v>0</v>
      </c>
      <c r="O515" s="506">
        <v>15802</v>
      </c>
      <c r="P515" s="506">
        <v>0</v>
      </c>
      <c r="Q515" s="507"/>
      <c r="R515" s="504"/>
      <c r="S515" s="507"/>
      <c r="T515" s="573">
        <f t="shared" si="33"/>
        <v>32972</v>
      </c>
      <c r="U515" s="574">
        <f t="shared" si="34"/>
        <v>33802</v>
      </c>
      <c r="V515" s="505">
        <v>26752</v>
      </c>
      <c r="W515" s="506">
        <v>26315</v>
      </c>
      <c r="X515" s="508">
        <v>2910</v>
      </c>
      <c r="Y515" s="507">
        <v>3548</v>
      </c>
      <c r="Z515" s="504">
        <v>3300</v>
      </c>
      <c r="AA515" s="505">
        <v>10</v>
      </c>
      <c r="AB515" s="505">
        <v>0</v>
      </c>
      <c r="AC515" s="506">
        <v>3939</v>
      </c>
      <c r="AD515" s="506">
        <v>0</v>
      </c>
      <c r="AE515" s="509"/>
      <c r="AF515" s="504">
        <v>0</v>
      </c>
      <c r="AG515" s="506"/>
    </row>
    <row r="516" spans="1:33">
      <c r="A516" s="503" t="s">
        <v>84</v>
      </c>
      <c r="B516" s="501" t="s">
        <v>751</v>
      </c>
      <c r="C516" s="510"/>
      <c r="D516" s="512">
        <v>232937</v>
      </c>
      <c r="E516" s="513">
        <v>3</v>
      </c>
      <c r="F516" s="571">
        <f t="shared" si="31"/>
        <v>145531</v>
      </c>
      <c r="G516" s="555">
        <f t="shared" si="32"/>
        <v>160708</v>
      </c>
      <c r="H516" s="505">
        <v>136041</v>
      </c>
      <c r="I516" s="506">
        <v>134731</v>
      </c>
      <c r="J516" s="505">
        <v>0</v>
      </c>
      <c r="K516" s="507">
        <v>1815</v>
      </c>
      <c r="L516" s="504">
        <v>9490</v>
      </c>
      <c r="M516" s="505">
        <v>0</v>
      </c>
      <c r="N516" s="505">
        <v>0</v>
      </c>
      <c r="O516" s="506">
        <v>0</v>
      </c>
      <c r="P516" s="506">
        <v>24162</v>
      </c>
      <c r="Q516" s="507"/>
      <c r="R516" s="504"/>
      <c r="S516" s="507"/>
      <c r="T516" s="573">
        <f t="shared" si="33"/>
        <v>12457</v>
      </c>
      <c r="U516" s="574">
        <f t="shared" si="34"/>
        <v>14099</v>
      </c>
      <c r="V516" s="505">
        <v>11578</v>
      </c>
      <c r="W516" s="506">
        <v>11591</v>
      </c>
      <c r="X516" s="508">
        <v>0</v>
      </c>
      <c r="Y516" s="507">
        <v>652</v>
      </c>
      <c r="Z516" s="504">
        <v>879</v>
      </c>
      <c r="AA516" s="505">
        <v>0</v>
      </c>
      <c r="AB516" s="505">
        <v>0</v>
      </c>
      <c r="AC516" s="506">
        <v>0</v>
      </c>
      <c r="AD516" s="506">
        <v>1856</v>
      </c>
      <c r="AE516" s="509"/>
      <c r="AF516" s="504">
        <v>0</v>
      </c>
      <c r="AG516" s="506"/>
    </row>
    <row r="517" spans="1:33">
      <c r="A517" s="503" t="s">
        <v>84</v>
      </c>
      <c r="B517" s="501" t="s">
        <v>752</v>
      </c>
      <c r="C517" s="510" t="s">
        <v>783</v>
      </c>
      <c r="D517" s="514">
        <v>232566</v>
      </c>
      <c r="E517" s="511">
        <v>4</v>
      </c>
      <c r="F517" s="571">
        <f t="shared" si="31"/>
        <v>124398</v>
      </c>
      <c r="G517" s="555">
        <f t="shared" si="32"/>
        <v>244570</v>
      </c>
      <c r="H517" s="505">
        <v>116807</v>
      </c>
      <c r="I517" s="506">
        <v>235209</v>
      </c>
      <c r="J517" s="505">
        <v>768</v>
      </c>
      <c r="K517" s="507">
        <v>7653</v>
      </c>
      <c r="L517" s="504">
        <v>6823</v>
      </c>
      <c r="M517" s="505">
        <v>0</v>
      </c>
      <c r="N517" s="505">
        <v>0</v>
      </c>
      <c r="O517" s="506">
        <v>810</v>
      </c>
      <c r="P517" s="506">
        <v>898</v>
      </c>
      <c r="Q517" s="507"/>
      <c r="R517" s="504"/>
      <c r="S517" s="507"/>
      <c r="T517" s="573">
        <f t="shared" si="33"/>
        <v>8191</v>
      </c>
      <c r="U517" s="574">
        <f t="shared" si="34"/>
        <v>20498</v>
      </c>
      <c r="V517" s="505">
        <v>4299</v>
      </c>
      <c r="W517" s="506">
        <v>15415</v>
      </c>
      <c r="X517" s="508">
        <v>2981</v>
      </c>
      <c r="Y517" s="507">
        <v>3350</v>
      </c>
      <c r="Z517" s="504">
        <v>911</v>
      </c>
      <c r="AA517" s="505">
        <v>0</v>
      </c>
      <c r="AB517" s="505">
        <v>0</v>
      </c>
      <c r="AC517" s="506">
        <v>385</v>
      </c>
      <c r="AD517" s="506">
        <v>1348</v>
      </c>
      <c r="AE517" s="509"/>
      <c r="AF517" s="504">
        <v>0</v>
      </c>
      <c r="AG517" s="506"/>
    </row>
    <row r="518" spans="1:33">
      <c r="A518" s="503" t="s">
        <v>84</v>
      </c>
      <c r="B518" s="501" t="s">
        <v>753</v>
      </c>
      <c r="C518" s="510" t="s">
        <v>783</v>
      </c>
      <c r="D518" s="512">
        <v>233277</v>
      </c>
      <c r="E518" s="513">
        <v>4</v>
      </c>
      <c r="F518" s="571">
        <f t="shared" si="31"/>
        <v>235610</v>
      </c>
      <c r="G518" s="555">
        <f t="shared" si="32"/>
        <v>157465</v>
      </c>
      <c r="H518" s="505">
        <v>227686</v>
      </c>
      <c r="I518" s="506">
        <v>153741</v>
      </c>
      <c r="J518" s="505">
        <v>5953</v>
      </c>
      <c r="K518" s="507">
        <v>2680</v>
      </c>
      <c r="L518" s="504">
        <v>1257</v>
      </c>
      <c r="M518" s="505">
        <v>714</v>
      </c>
      <c r="N518" s="505">
        <v>0</v>
      </c>
      <c r="O518" s="506">
        <v>1044</v>
      </c>
      <c r="P518" s="506">
        <v>0</v>
      </c>
      <c r="Q518" s="507"/>
      <c r="R518" s="504"/>
      <c r="S518" s="507"/>
      <c r="T518" s="573">
        <f t="shared" si="33"/>
        <v>19948</v>
      </c>
      <c r="U518" s="574">
        <f t="shared" si="34"/>
        <v>9863</v>
      </c>
      <c r="V518" s="505">
        <v>15503</v>
      </c>
      <c r="W518" s="506">
        <v>8063</v>
      </c>
      <c r="X518" s="508">
        <v>3207</v>
      </c>
      <c r="Y518" s="507">
        <v>1800</v>
      </c>
      <c r="Z518" s="504">
        <v>317</v>
      </c>
      <c r="AA518" s="505">
        <v>921</v>
      </c>
      <c r="AB518" s="505">
        <v>0</v>
      </c>
      <c r="AC518" s="506">
        <v>0</v>
      </c>
      <c r="AD518" s="506">
        <v>0</v>
      </c>
      <c r="AE518" s="509"/>
      <c r="AF518" s="504">
        <v>0</v>
      </c>
      <c r="AG518" s="506"/>
    </row>
    <row r="519" spans="1:33">
      <c r="A519" s="503" t="s">
        <v>84</v>
      </c>
      <c r="B519" s="501" t="s">
        <v>754</v>
      </c>
      <c r="C519" s="510" t="s">
        <v>783</v>
      </c>
      <c r="D519" s="512">
        <v>234155</v>
      </c>
      <c r="E519" s="513">
        <v>4</v>
      </c>
      <c r="F519" s="571">
        <f t="shared" si="31"/>
        <v>152509</v>
      </c>
      <c r="G519" s="555">
        <f t="shared" si="32"/>
        <v>140270</v>
      </c>
      <c r="H519" s="505">
        <v>148062</v>
      </c>
      <c r="I519" s="506">
        <v>139898</v>
      </c>
      <c r="J519" s="505">
        <v>2916</v>
      </c>
      <c r="K519" s="507">
        <v>372</v>
      </c>
      <c r="L519" s="504">
        <v>1531</v>
      </c>
      <c r="M519" s="505">
        <v>0</v>
      </c>
      <c r="N519" s="505">
        <v>0</v>
      </c>
      <c r="O519" s="506">
        <v>0</v>
      </c>
      <c r="P519" s="506">
        <v>0</v>
      </c>
      <c r="Q519" s="507"/>
      <c r="R519" s="504"/>
      <c r="S519" s="507"/>
      <c r="T519" s="573">
        <f t="shared" si="33"/>
        <v>9563</v>
      </c>
      <c r="U519" s="574">
        <f t="shared" si="34"/>
        <v>3807</v>
      </c>
      <c r="V519" s="505">
        <v>7526</v>
      </c>
      <c r="W519" s="506">
        <v>3807</v>
      </c>
      <c r="X519" s="508">
        <v>1788</v>
      </c>
      <c r="Y519" s="507">
        <v>0</v>
      </c>
      <c r="Z519" s="504">
        <v>249</v>
      </c>
      <c r="AA519" s="505">
        <v>0</v>
      </c>
      <c r="AB519" s="505">
        <v>0</v>
      </c>
      <c r="AC519" s="506">
        <v>0</v>
      </c>
      <c r="AD519" s="506">
        <v>0</v>
      </c>
      <c r="AE519" s="509"/>
      <c r="AF519" s="504">
        <v>0</v>
      </c>
      <c r="AG519" s="506"/>
    </row>
    <row r="520" spans="1:33">
      <c r="A520" s="503" t="s">
        <v>84</v>
      </c>
      <c r="B520" s="501" t="s">
        <v>755</v>
      </c>
      <c r="C520" s="510" t="s">
        <v>784</v>
      </c>
      <c r="D520" s="512">
        <v>231712</v>
      </c>
      <c r="E520" s="513">
        <v>5</v>
      </c>
      <c r="F520" s="571">
        <f t="shared" ref="F520:F567" si="35">SUM(H520,J520,L520,M520,N520,R520)</f>
        <v>138094</v>
      </c>
      <c r="G520" s="555">
        <f t="shared" ref="G520:G567" si="36">SUM(I520,K520,O520,P520,Q520,S520)</f>
        <v>126712</v>
      </c>
      <c r="H520" s="505">
        <v>136161</v>
      </c>
      <c r="I520" s="506">
        <v>117765</v>
      </c>
      <c r="J520" s="505">
        <v>345</v>
      </c>
      <c r="K520" s="507">
        <v>781</v>
      </c>
      <c r="L520" s="504">
        <v>1588</v>
      </c>
      <c r="M520" s="505">
        <v>0</v>
      </c>
      <c r="N520" s="505">
        <v>0</v>
      </c>
      <c r="O520" s="506">
        <v>8166</v>
      </c>
      <c r="P520" s="506">
        <v>0</v>
      </c>
      <c r="Q520" s="507"/>
      <c r="R520" s="504"/>
      <c r="S520" s="507"/>
      <c r="T520" s="573">
        <f t="shared" ref="T520:T567" si="37">SUM(V520,X520,Z520,AA520,AB520,AF520)</f>
        <v>4215</v>
      </c>
      <c r="U520" s="574">
        <f t="shared" ref="U520:U567" si="38">SUM(W520,Y520,AC520,AD520,AE520,AG520)</f>
        <v>7771</v>
      </c>
      <c r="V520" s="505">
        <v>4119</v>
      </c>
      <c r="W520" s="506">
        <v>4139</v>
      </c>
      <c r="X520" s="508">
        <v>96</v>
      </c>
      <c r="Y520" s="507">
        <v>1918</v>
      </c>
      <c r="Z520" s="504">
        <v>0</v>
      </c>
      <c r="AA520" s="505">
        <v>0</v>
      </c>
      <c r="AB520" s="505">
        <v>0</v>
      </c>
      <c r="AC520" s="506">
        <v>1714</v>
      </c>
      <c r="AD520" s="506">
        <v>0</v>
      </c>
      <c r="AE520" s="509"/>
      <c r="AF520" s="504">
        <v>0</v>
      </c>
      <c r="AG520" s="506"/>
    </row>
    <row r="521" spans="1:33">
      <c r="A521" s="503" t="s">
        <v>84</v>
      </c>
      <c r="B521" s="501" t="s">
        <v>756</v>
      </c>
      <c r="C521" s="510" t="s">
        <v>783</v>
      </c>
      <c r="D521" s="512">
        <v>232681</v>
      </c>
      <c r="E521" s="513">
        <v>5</v>
      </c>
      <c r="F521" s="571">
        <f t="shared" si="35"/>
        <v>126229</v>
      </c>
      <c r="G521" s="555">
        <f t="shared" si="36"/>
        <v>126791</v>
      </c>
      <c r="H521" s="505">
        <v>122084</v>
      </c>
      <c r="I521" s="506">
        <v>122858</v>
      </c>
      <c r="J521" s="505">
        <v>0</v>
      </c>
      <c r="K521" s="507">
        <v>0</v>
      </c>
      <c r="L521" s="504">
        <v>4022</v>
      </c>
      <c r="M521" s="505">
        <v>123</v>
      </c>
      <c r="N521" s="505">
        <v>0</v>
      </c>
      <c r="O521" s="506">
        <v>3849</v>
      </c>
      <c r="P521" s="506">
        <v>84</v>
      </c>
      <c r="Q521" s="507"/>
      <c r="R521" s="504"/>
      <c r="S521" s="507"/>
      <c r="T521" s="573">
        <f t="shared" si="37"/>
        <v>10857</v>
      </c>
      <c r="U521" s="574">
        <f t="shared" si="38"/>
        <v>9707</v>
      </c>
      <c r="V521" s="505">
        <v>9170</v>
      </c>
      <c r="W521" s="506">
        <v>8042</v>
      </c>
      <c r="X521" s="508">
        <v>0</v>
      </c>
      <c r="Y521" s="507">
        <v>0</v>
      </c>
      <c r="Z521" s="504">
        <v>1687</v>
      </c>
      <c r="AA521" s="505">
        <v>0</v>
      </c>
      <c r="AB521" s="505">
        <v>0</v>
      </c>
      <c r="AC521" s="506">
        <v>1665</v>
      </c>
      <c r="AD521" s="506">
        <v>0</v>
      </c>
      <c r="AE521" s="509"/>
      <c r="AF521" s="504">
        <v>0</v>
      </c>
      <c r="AG521" s="506"/>
    </row>
    <row r="522" spans="1:33">
      <c r="A522" s="503" t="s">
        <v>84</v>
      </c>
      <c r="B522" s="501" t="s">
        <v>757</v>
      </c>
      <c r="C522" s="516"/>
      <c r="D522" s="512">
        <v>233897</v>
      </c>
      <c r="E522" s="513">
        <v>6</v>
      </c>
      <c r="F522" s="571">
        <f t="shared" si="35"/>
        <v>50690.3</v>
      </c>
      <c r="G522" s="555">
        <f t="shared" si="36"/>
        <v>51098</v>
      </c>
      <c r="H522" s="505">
        <v>48171.3</v>
      </c>
      <c r="I522" s="506">
        <v>48493</v>
      </c>
      <c r="J522" s="505">
        <v>499</v>
      </c>
      <c r="K522" s="507">
        <v>901</v>
      </c>
      <c r="L522" s="504">
        <v>2020</v>
      </c>
      <c r="M522" s="505">
        <v>0</v>
      </c>
      <c r="N522" s="505">
        <v>0</v>
      </c>
      <c r="O522" s="506">
        <v>1704</v>
      </c>
      <c r="P522" s="506">
        <v>0</v>
      </c>
      <c r="Q522" s="507"/>
      <c r="R522" s="504"/>
      <c r="S522" s="507"/>
      <c r="T522" s="573">
        <f t="shared" si="37"/>
        <v>0</v>
      </c>
      <c r="U522" s="574">
        <f t="shared" si="38"/>
        <v>0</v>
      </c>
      <c r="V522" s="505">
        <v>0</v>
      </c>
      <c r="W522" s="506">
        <v>0</v>
      </c>
      <c r="X522" s="508">
        <v>0</v>
      </c>
      <c r="Y522" s="507">
        <v>0</v>
      </c>
      <c r="Z522" s="504">
        <v>0</v>
      </c>
      <c r="AA522" s="505">
        <v>0</v>
      </c>
      <c r="AB522" s="505">
        <v>0</v>
      </c>
      <c r="AC522" s="506">
        <v>0</v>
      </c>
      <c r="AD522" s="506">
        <v>0</v>
      </c>
      <c r="AE522" s="509"/>
      <c r="AF522" s="504">
        <v>0</v>
      </c>
      <c r="AG522" s="506"/>
    </row>
    <row r="523" spans="1:33">
      <c r="A523" s="503" t="s">
        <v>84</v>
      </c>
      <c r="B523" s="501" t="s">
        <v>758</v>
      </c>
      <c r="C523" s="516"/>
      <c r="D523" s="512">
        <v>232414</v>
      </c>
      <c r="E523" s="517">
        <v>8</v>
      </c>
      <c r="F523" s="571">
        <f t="shared" si="35"/>
        <v>244230</v>
      </c>
      <c r="G523" s="555">
        <f t="shared" si="36"/>
        <v>258715</v>
      </c>
      <c r="H523" s="505">
        <v>172158</v>
      </c>
      <c r="I523" s="506">
        <v>169578</v>
      </c>
      <c r="J523" s="505">
        <v>15398</v>
      </c>
      <c r="K523" s="507">
        <v>22486</v>
      </c>
      <c r="L523" s="504">
        <v>56524</v>
      </c>
      <c r="M523" s="505">
        <v>150</v>
      </c>
      <c r="N523" s="505">
        <v>0</v>
      </c>
      <c r="O523" s="506">
        <v>66480</v>
      </c>
      <c r="P523" s="506">
        <v>171</v>
      </c>
      <c r="Q523" s="507"/>
      <c r="R523" s="504"/>
      <c r="S523" s="507"/>
      <c r="T523" s="573">
        <f t="shared" si="37"/>
        <v>0</v>
      </c>
      <c r="U523" s="574">
        <f t="shared" si="38"/>
        <v>0</v>
      </c>
      <c r="V523" s="505">
        <v>0</v>
      </c>
      <c r="W523" s="506">
        <v>0</v>
      </c>
      <c r="X523" s="508">
        <v>0</v>
      </c>
      <c r="Y523" s="507">
        <v>0</v>
      </c>
      <c r="Z523" s="504">
        <v>0</v>
      </c>
      <c r="AA523" s="505">
        <v>0</v>
      </c>
      <c r="AB523" s="505">
        <v>0</v>
      </c>
      <c r="AC523" s="506">
        <v>0</v>
      </c>
      <c r="AD523" s="506">
        <v>0</v>
      </c>
      <c r="AE523" s="509"/>
      <c r="AF523" s="504">
        <v>0</v>
      </c>
      <c r="AG523" s="506"/>
    </row>
    <row r="524" spans="1:33">
      <c r="A524" s="503" t="s">
        <v>84</v>
      </c>
      <c r="B524" s="501" t="s">
        <v>759</v>
      </c>
      <c r="C524" s="516"/>
      <c r="D524" s="512">
        <v>232946</v>
      </c>
      <c r="E524" s="517">
        <v>8</v>
      </c>
      <c r="F524" s="571">
        <f t="shared" si="35"/>
        <v>1001401</v>
      </c>
      <c r="G524" s="555">
        <f t="shared" si="36"/>
        <v>1051547</v>
      </c>
      <c r="H524" s="505">
        <v>735603</v>
      </c>
      <c r="I524" s="506">
        <v>756511</v>
      </c>
      <c r="J524" s="505">
        <v>55892</v>
      </c>
      <c r="K524" s="507">
        <v>60406</v>
      </c>
      <c r="L524" s="504">
        <v>204659</v>
      </c>
      <c r="M524" s="505">
        <v>5247</v>
      </c>
      <c r="N524" s="505">
        <v>0</v>
      </c>
      <c r="O524" s="506">
        <v>229568</v>
      </c>
      <c r="P524" s="506">
        <v>5062</v>
      </c>
      <c r="Q524" s="507"/>
      <c r="R524" s="504"/>
      <c r="S524" s="507"/>
      <c r="T524" s="573">
        <f t="shared" si="37"/>
        <v>0</v>
      </c>
      <c r="U524" s="574">
        <f t="shared" si="38"/>
        <v>0</v>
      </c>
      <c r="V524" s="505">
        <v>0</v>
      </c>
      <c r="W524" s="506">
        <v>0</v>
      </c>
      <c r="X524" s="508">
        <v>0</v>
      </c>
      <c r="Y524" s="507">
        <v>0</v>
      </c>
      <c r="Z524" s="504">
        <v>0</v>
      </c>
      <c r="AA524" s="505">
        <v>0</v>
      </c>
      <c r="AB524" s="505">
        <v>0</v>
      </c>
      <c r="AC524" s="506">
        <v>0</v>
      </c>
      <c r="AD524" s="506">
        <v>0</v>
      </c>
      <c r="AE524" s="509"/>
      <c r="AF524" s="504">
        <v>0</v>
      </c>
      <c r="AG524" s="506"/>
    </row>
    <row r="525" spans="1:33">
      <c r="A525" s="503" t="s">
        <v>84</v>
      </c>
      <c r="B525" s="501" t="s">
        <v>760</v>
      </c>
      <c r="C525" s="516"/>
      <c r="D525" s="512">
        <v>233754</v>
      </c>
      <c r="E525" s="517">
        <v>8</v>
      </c>
      <c r="F525" s="571">
        <f t="shared" si="35"/>
        <v>204930</v>
      </c>
      <c r="G525" s="555">
        <f t="shared" si="36"/>
        <v>215326</v>
      </c>
      <c r="H525" s="505">
        <v>149305</v>
      </c>
      <c r="I525" s="506">
        <v>154144</v>
      </c>
      <c r="J525" s="505">
        <v>17013</v>
      </c>
      <c r="K525" s="507">
        <v>16070</v>
      </c>
      <c r="L525" s="504">
        <v>38173</v>
      </c>
      <c r="M525" s="505">
        <v>439</v>
      </c>
      <c r="N525" s="505">
        <v>0</v>
      </c>
      <c r="O525" s="506">
        <v>44775</v>
      </c>
      <c r="P525" s="506">
        <v>337</v>
      </c>
      <c r="Q525" s="507"/>
      <c r="R525" s="504"/>
      <c r="S525" s="507"/>
      <c r="T525" s="573">
        <f t="shared" si="37"/>
        <v>0</v>
      </c>
      <c r="U525" s="574">
        <f t="shared" si="38"/>
        <v>0</v>
      </c>
      <c r="V525" s="505">
        <v>0</v>
      </c>
      <c r="W525" s="506">
        <v>0</v>
      </c>
      <c r="X525" s="508">
        <v>0</v>
      </c>
      <c r="Y525" s="507">
        <v>0</v>
      </c>
      <c r="Z525" s="504">
        <v>0</v>
      </c>
      <c r="AA525" s="505">
        <v>0</v>
      </c>
      <c r="AB525" s="505">
        <v>0</v>
      </c>
      <c r="AC525" s="506">
        <v>0</v>
      </c>
      <c r="AD525" s="506">
        <v>0</v>
      </c>
      <c r="AE525" s="509"/>
      <c r="AF525" s="504">
        <v>0</v>
      </c>
      <c r="AG525" s="506"/>
    </row>
    <row r="526" spans="1:33">
      <c r="A526" s="503" t="s">
        <v>84</v>
      </c>
      <c r="B526" s="501" t="s">
        <v>761</v>
      </c>
      <c r="C526" s="516"/>
      <c r="D526" s="512">
        <v>233772</v>
      </c>
      <c r="E526" s="517">
        <v>8</v>
      </c>
      <c r="F526" s="571">
        <f t="shared" si="35"/>
        <v>657783</v>
      </c>
      <c r="G526" s="555">
        <f t="shared" si="36"/>
        <v>690950</v>
      </c>
      <c r="H526" s="505">
        <v>443134</v>
      </c>
      <c r="I526" s="506">
        <v>469902</v>
      </c>
      <c r="J526" s="505">
        <v>44119</v>
      </c>
      <c r="K526" s="507">
        <v>42965</v>
      </c>
      <c r="L526" s="504">
        <v>170530</v>
      </c>
      <c r="M526" s="505">
        <v>0</v>
      </c>
      <c r="N526" s="505">
        <v>0</v>
      </c>
      <c r="O526" s="506">
        <v>178034</v>
      </c>
      <c r="P526" s="506">
        <v>49</v>
      </c>
      <c r="Q526" s="507"/>
      <c r="R526" s="504"/>
      <c r="S526" s="507"/>
      <c r="T526" s="573">
        <f t="shared" si="37"/>
        <v>0</v>
      </c>
      <c r="U526" s="574">
        <f t="shared" si="38"/>
        <v>0</v>
      </c>
      <c r="V526" s="505">
        <v>0</v>
      </c>
      <c r="W526" s="506">
        <v>0</v>
      </c>
      <c r="X526" s="508">
        <v>0</v>
      </c>
      <c r="Y526" s="507">
        <v>0</v>
      </c>
      <c r="Z526" s="504">
        <v>0</v>
      </c>
      <c r="AA526" s="505">
        <v>0</v>
      </c>
      <c r="AB526" s="505">
        <v>0</v>
      </c>
      <c r="AC526" s="506">
        <v>0</v>
      </c>
      <c r="AD526" s="506">
        <v>0</v>
      </c>
      <c r="AE526" s="509"/>
      <c r="AF526" s="504">
        <v>0</v>
      </c>
      <c r="AG526" s="506"/>
    </row>
    <row r="527" spans="1:33">
      <c r="A527" s="503" t="s">
        <v>84</v>
      </c>
      <c r="B527" s="501" t="s">
        <v>762</v>
      </c>
      <c r="C527" s="516"/>
      <c r="D527" s="512">
        <v>231536</v>
      </c>
      <c r="E527" s="517">
        <v>9</v>
      </c>
      <c r="F527" s="571">
        <f t="shared" si="35"/>
        <v>94850</v>
      </c>
      <c r="G527" s="555">
        <f t="shared" si="36"/>
        <v>94524</v>
      </c>
      <c r="H527" s="505">
        <v>56418</v>
      </c>
      <c r="I527" s="506">
        <v>54717</v>
      </c>
      <c r="J527" s="505">
        <v>12609</v>
      </c>
      <c r="K527" s="507">
        <v>11233</v>
      </c>
      <c r="L527" s="504">
        <v>25823</v>
      </c>
      <c r="M527" s="505">
        <v>0</v>
      </c>
      <c r="N527" s="505">
        <v>0</v>
      </c>
      <c r="O527" s="506">
        <v>28574</v>
      </c>
      <c r="P527" s="506">
        <v>0</v>
      </c>
      <c r="Q527" s="507"/>
      <c r="R527" s="504"/>
      <c r="S527" s="507"/>
      <c r="T527" s="573">
        <f t="shared" si="37"/>
        <v>0</v>
      </c>
      <c r="U527" s="574">
        <f t="shared" si="38"/>
        <v>0</v>
      </c>
      <c r="V527" s="505">
        <v>0</v>
      </c>
      <c r="W527" s="506">
        <v>0</v>
      </c>
      <c r="X527" s="508">
        <v>0</v>
      </c>
      <c r="Y527" s="507">
        <v>0</v>
      </c>
      <c r="Z527" s="504">
        <v>0</v>
      </c>
      <c r="AA527" s="505">
        <v>0</v>
      </c>
      <c r="AB527" s="505">
        <v>0</v>
      </c>
      <c r="AC527" s="506">
        <v>0</v>
      </c>
      <c r="AD527" s="506">
        <v>0</v>
      </c>
      <c r="AE527" s="509"/>
      <c r="AF527" s="504">
        <v>0</v>
      </c>
      <c r="AG527" s="506"/>
    </row>
    <row r="528" spans="1:33">
      <c r="A528" s="503" t="s">
        <v>84</v>
      </c>
      <c r="B528" s="501" t="s">
        <v>763</v>
      </c>
      <c r="C528" s="516"/>
      <c r="D528" s="512">
        <v>231697</v>
      </c>
      <c r="E528" s="517">
        <v>9</v>
      </c>
      <c r="F528" s="571">
        <f t="shared" si="35"/>
        <v>88313</v>
      </c>
      <c r="G528" s="555">
        <f t="shared" si="36"/>
        <v>88001</v>
      </c>
      <c r="H528" s="505">
        <v>54003</v>
      </c>
      <c r="I528" s="506">
        <v>52026</v>
      </c>
      <c r="J528" s="505">
        <v>17498</v>
      </c>
      <c r="K528" s="507">
        <v>18497</v>
      </c>
      <c r="L528" s="504">
        <v>12808</v>
      </c>
      <c r="M528" s="505">
        <v>4004</v>
      </c>
      <c r="N528" s="505">
        <v>0</v>
      </c>
      <c r="O528" s="506">
        <v>13611</v>
      </c>
      <c r="P528" s="506">
        <v>3867</v>
      </c>
      <c r="Q528" s="507"/>
      <c r="R528" s="504"/>
      <c r="S528" s="507"/>
      <c r="T528" s="573">
        <f t="shared" si="37"/>
        <v>0</v>
      </c>
      <c r="U528" s="574">
        <f t="shared" si="38"/>
        <v>0</v>
      </c>
      <c r="V528" s="505">
        <v>0</v>
      </c>
      <c r="W528" s="506">
        <v>0</v>
      </c>
      <c r="X528" s="508">
        <v>0</v>
      </c>
      <c r="Y528" s="507">
        <v>0</v>
      </c>
      <c r="Z528" s="504">
        <v>0</v>
      </c>
      <c r="AA528" s="505">
        <v>0</v>
      </c>
      <c r="AB528" s="505">
        <v>0</v>
      </c>
      <c r="AC528" s="506">
        <v>0</v>
      </c>
      <c r="AD528" s="506">
        <v>0</v>
      </c>
      <c r="AE528" s="509"/>
      <c r="AF528" s="504">
        <v>0</v>
      </c>
      <c r="AG528" s="506"/>
    </row>
    <row r="529" spans="1:33">
      <c r="A529" s="503" t="s">
        <v>84</v>
      </c>
      <c r="B529" s="501" t="s">
        <v>764</v>
      </c>
      <c r="C529" s="516"/>
      <c r="D529" s="512">
        <v>231882</v>
      </c>
      <c r="E529" s="517">
        <v>9</v>
      </c>
      <c r="F529" s="571">
        <f t="shared" si="35"/>
        <v>88812</v>
      </c>
      <c r="G529" s="555">
        <f t="shared" si="36"/>
        <v>85382</v>
      </c>
      <c r="H529" s="505">
        <v>58317</v>
      </c>
      <c r="I529" s="506">
        <v>57605</v>
      </c>
      <c r="J529" s="505">
        <v>20500</v>
      </c>
      <c r="K529" s="507">
        <v>18086</v>
      </c>
      <c r="L529" s="504">
        <v>9382</v>
      </c>
      <c r="M529" s="505">
        <v>613</v>
      </c>
      <c r="N529" s="505">
        <v>0</v>
      </c>
      <c r="O529" s="506">
        <v>9107</v>
      </c>
      <c r="P529" s="506">
        <v>584</v>
      </c>
      <c r="Q529" s="507"/>
      <c r="R529" s="504"/>
      <c r="S529" s="507"/>
      <c r="T529" s="573">
        <f t="shared" si="37"/>
        <v>0</v>
      </c>
      <c r="U529" s="574">
        <f t="shared" si="38"/>
        <v>0</v>
      </c>
      <c r="V529" s="505">
        <v>0</v>
      </c>
      <c r="W529" s="506">
        <v>0</v>
      </c>
      <c r="X529" s="508">
        <v>0</v>
      </c>
      <c r="Y529" s="507">
        <v>0</v>
      </c>
      <c r="Z529" s="504">
        <v>0</v>
      </c>
      <c r="AA529" s="505">
        <v>0</v>
      </c>
      <c r="AB529" s="505">
        <v>0</v>
      </c>
      <c r="AC529" s="506">
        <v>0</v>
      </c>
      <c r="AD529" s="506">
        <v>0</v>
      </c>
      <c r="AE529" s="509"/>
      <c r="AF529" s="504">
        <v>0</v>
      </c>
      <c r="AG529" s="506"/>
    </row>
    <row r="530" spans="1:33">
      <c r="A530" s="503" t="s">
        <v>84</v>
      </c>
      <c r="B530" s="501" t="s">
        <v>765</v>
      </c>
      <c r="C530" s="516"/>
      <c r="D530" s="512">
        <v>232195</v>
      </c>
      <c r="E530" s="517">
        <v>9</v>
      </c>
      <c r="F530" s="571">
        <f t="shared" si="35"/>
        <v>131957</v>
      </c>
      <c r="G530" s="555">
        <f t="shared" si="36"/>
        <v>139901</v>
      </c>
      <c r="H530" s="505">
        <v>81676</v>
      </c>
      <c r="I530" s="506">
        <v>68757</v>
      </c>
      <c r="J530" s="505">
        <v>16152</v>
      </c>
      <c r="K530" s="507">
        <v>18585</v>
      </c>
      <c r="L530" s="504">
        <v>21591</v>
      </c>
      <c r="M530" s="505">
        <v>12538</v>
      </c>
      <c r="N530" s="505">
        <v>0</v>
      </c>
      <c r="O530" s="506">
        <v>27980</v>
      </c>
      <c r="P530" s="506">
        <v>24579</v>
      </c>
      <c r="Q530" s="507"/>
      <c r="R530" s="504"/>
      <c r="S530" s="507"/>
      <c r="T530" s="573">
        <f t="shared" si="37"/>
        <v>0</v>
      </c>
      <c r="U530" s="574">
        <f t="shared" si="38"/>
        <v>0</v>
      </c>
      <c r="V530" s="505">
        <v>0</v>
      </c>
      <c r="W530" s="506">
        <v>0</v>
      </c>
      <c r="X530" s="508">
        <v>0</v>
      </c>
      <c r="Y530" s="507">
        <v>0</v>
      </c>
      <c r="Z530" s="504">
        <v>0</v>
      </c>
      <c r="AA530" s="505">
        <v>0</v>
      </c>
      <c r="AB530" s="505">
        <v>0</v>
      </c>
      <c r="AC530" s="506">
        <v>0</v>
      </c>
      <c r="AD530" s="506">
        <v>0</v>
      </c>
      <c r="AE530" s="509"/>
      <c r="AF530" s="504">
        <v>0</v>
      </c>
      <c r="AG530" s="506"/>
    </row>
    <row r="531" spans="1:33">
      <c r="A531" s="503" t="s">
        <v>84</v>
      </c>
      <c r="B531" s="501" t="s">
        <v>766</v>
      </c>
      <c r="C531" s="516" t="s">
        <v>742</v>
      </c>
      <c r="D531" s="512">
        <v>232450</v>
      </c>
      <c r="E531" s="517">
        <v>9</v>
      </c>
      <c r="F531" s="571">
        <f t="shared" si="35"/>
        <v>181574</v>
      </c>
      <c r="G531" s="555">
        <f t="shared" si="36"/>
        <v>190338</v>
      </c>
      <c r="H531" s="505">
        <v>120678</v>
      </c>
      <c r="I531" s="506">
        <v>122195</v>
      </c>
      <c r="J531" s="505">
        <v>20587</v>
      </c>
      <c r="K531" s="507">
        <v>20761</v>
      </c>
      <c r="L531" s="504">
        <v>40107</v>
      </c>
      <c r="M531" s="505">
        <v>202</v>
      </c>
      <c r="N531" s="505">
        <v>0</v>
      </c>
      <c r="O531" s="506">
        <v>47182</v>
      </c>
      <c r="P531" s="506">
        <v>200</v>
      </c>
      <c r="Q531" s="507"/>
      <c r="R531" s="504"/>
      <c r="S531" s="507"/>
      <c r="T531" s="573">
        <f t="shared" si="37"/>
        <v>0</v>
      </c>
      <c r="U531" s="574">
        <f t="shared" si="38"/>
        <v>0</v>
      </c>
      <c r="V531" s="505">
        <v>0</v>
      </c>
      <c r="W531" s="506">
        <v>0</v>
      </c>
      <c r="X531" s="508">
        <v>0</v>
      </c>
      <c r="Y531" s="507">
        <v>0</v>
      </c>
      <c r="Z531" s="504">
        <v>0</v>
      </c>
      <c r="AA531" s="505">
        <v>0</v>
      </c>
      <c r="AB531" s="505">
        <v>0</v>
      </c>
      <c r="AC531" s="506">
        <v>0</v>
      </c>
      <c r="AD531" s="506">
        <v>0</v>
      </c>
      <c r="AE531" s="509"/>
      <c r="AF531" s="504">
        <v>0</v>
      </c>
      <c r="AG531" s="506"/>
    </row>
    <row r="532" spans="1:33">
      <c r="A532" s="503" t="s">
        <v>84</v>
      </c>
      <c r="B532" s="501" t="s">
        <v>767</v>
      </c>
      <c r="C532" s="516"/>
      <c r="D532" s="512">
        <v>232575</v>
      </c>
      <c r="E532" s="517">
        <v>9</v>
      </c>
      <c r="F532" s="571">
        <f t="shared" si="35"/>
        <v>117744</v>
      </c>
      <c r="G532" s="555">
        <f t="shared" si="36"/>
        <v>123923</v>
      </c>
      <c r="H532" s="505">
        <v>72683</v>
      </c>
      <c r="I532" s="506">
        <v>71369</v>
      </c>
      <c r="J532" s="505">
        <v>18552</v>
      </c>
      <c r="K532" s="507">
        <v>19623</v>
      </c>
      <c r="L532" s="504">
        <v>18969</v>
      </c>
      <c r="M532" s="505">
        <v>7540</v>
      </c>
      <c r="N532" s="505">
        <v>0</v>
      </c>
      <c r="O532" s="506">
        <v>26289</v>
      </c>
      <c r="P532" s="506">
        <v>6642</v>
      </c>
      <c r="Q532" s="507"/>
      <c r="R532" s="504"/>
      <c r="S532" s="507"/>
      <c r="T532" s="573">
        <f t="shared" si="37"/>
        <v>0</v>
      </c>
      <c r="U532" s="574">
        <f t="shared" si="38"/>
        <v>0</v>
      </c>
      <c r="V532" s="505">
        <v>0</v>
      </c>
      <c r="W532" s="506">
        <v>0</v>
      </c>
      <c r="X532" s="508">
        <v>0</v>
      </c>
      <c r="Y532" s="507">
        <v>0</v>
      </c>
      <c r="Z532" s="504">
        <v>0</v>
      </c>
      <c r="AA532" s="505">
        <v>0</v>
      </c>
      <c r="AB532" s="505">
        <v>0</v>
      </c>
      <c r="AC532" s="506">
        <v>0</v>
      </c>
      <c r="AD532" s="506">
        <v>0</v>
      </c>
      <c r="AE532" s="509"/>
      <c r="AF532" s="504">
        <v>0</v>
      </c>
      <c r="AG532" s="506"/>
    </row>
    <row r="533" spans="1:33">
      <c r="A533" s="503" t="s">
        <v>84</v>
      </c>
      <c r="B533" s="501" t="s">
        <v>768</v>
      </c>
      <c r="C533" s="516"/>
      <c r="D533" s="512">
        <v>232867</v>
      </c>
      <c r="E533" s="517">
        <v>9</v>
      </c>
      <c r="F533" s="571">
        <f t="shared" si="35"/>
        <v>101175</v>
      </c>
      <c r="G533" s="555">
        <f t="shared" si="36"/>
        <v>100166</v>
      </c>
      <c r="H533" s="505">
        <v>42150</v>
      </c>
      <c r="I533" s="506">
        <v>36784</v>
      </c>
      <c r="J533" s="505">
        <v>30343</v>
      </c>
      <c r="K533" s="507">
        <v>30117</v>
      </c>
      <c r="L533" s="504">
        <v>28244</v>
      </c>
      <c r="M533" s="505">
        <v>438</v>
      </c>
      <c r="N533" s="505">
        <v>0</v>
      </c>
      <c r="O533" s="506">
        <v>32557</v>
      </c>
      <c r="P533" s="506">
        <v>708</v>
      </c>
      <c r="Q533" s="507"/>
      <c r="R533" s="504"/>
      <c r="S533" s="507"/>
      <c r="T533" s="573">
        <f t="shared" si="37"/>
        <v>0</v>
      </c>
      <c r="U533" s="574">
        <f t="shared" si="38"/>
        <v>0</v>
      </c>
      <c r="V533" s="505">
        <v>0</v>
      </c>
      <c r="W533" s="506">
        <v>0</v>
      </c>
      <c r="X533" s="508">
        <v>0</v>
      </c>
      <c r="Y533" s="507">
        <v>0</v>
      </c>
      <c r="Z533" s="504">
        <v>0</v>
      </c>
      <c r="AA533" s="505">
        <v>0</v>
      </c>
      <c r="AB533" s="505">
        <v>0</v>
      </c>
      <c r="AC533" s="506">
        <v>0</v>
      </c>
      <c r="AD533" s="506">
        <v>0</v>
      </c>
      <c r="AE533" s="509"/>
      <c r="AF533" s="504">
        <v>0</v>
      </c>
      <c r="AG533" s="506"/>
    </row>
    <row r="534" spans="1:33">
      <c r="A534" s="503" t="s">
        <v>84</v>
      </c>
      <c r="B534" s="502" t="s">
        <v>776</v>
      </c>
      <c r="C534" s="515" t="s">
        <v>785</v>
      </c>
      <c r="D534" s="512">
        <v>233019</v>
      </c>
      <c r="E534" s="585">
        <v>9</v>
      </c>
      <c r="F534" s="571">
        <f t="shared" si="35"/>
        <v>76247</v>
      </c>
      <c r="G534" s="555">
        <f t="shared" si="36"/>
        <v>65095</v>
      </c>
      <c r="H534" s="505">
        <v>40582</v>
      </c>
      <c r="I534" s="506">
        <v>27821</v>
      </c>
      <c r="J534" s="505">
        <v>12047</v>
      </c>
      <c r="K534" s="507">
        <v>9870</v>
      </c>
      <c r="L534" s="504">
        <v>22539</v>
      </c>
      <c r="M534" s="505">
        <v>1079</v>
      </c>
      <c r="N534" s="505">
        <v>0</v>
      </c>
      <c r="O534" s="506">
        <v>25207</v>
      </c>
      <c r="P534" s="506">
        <v>2197</v>
      </c>
      <c r="Q534" s="507"/>
      <c r="R534" s="504"/>
      <c r="S534" s="507"/>
      <c r="T534" s="573">
        <f t="shared" si="37"/>
        <v>0</v>
      </c>
      <c r="U534" s="574">
        <f t="shared" si="38"/>
        <v>0</v>
      </c>
      <c r="V534" s="505">
        <v>0</v>
      </c>
      <c r="W534" s="506">
        <v>0</v>
      </c>
      <c r="X534" s="508">
        <v>0</v>
      </c>
      <c r="Y534" s="507">
        <v>0</v>
      </c>
      <c r="Z534" s="504">
        <v>0</v>
      </c>
      <c r="AA534" s="505">
        <v>0</v>
      </c>
      <c r="AB534" s="505">
        <v>0</v>
      </c>
      <c r="AC534" s="506">
        <v>0</v>
      </c>
      <c r="AD534" s="506">
        <v>0</v>
      </c>
      <c r="AE534" s="509"/>
      <c r="AF534" s="504">
        <v>0</v>
      </c>
      <c r="AG534" s="506"/>
    </row>
    <row r="535" spans="1:33">
      <c r="A535" s="503" t="s">
        <v>84</v>
      </c>
      <c r="B535" s="501" t="s">
        <v>769</v>
      </c>
      <c r="C535" s="516"/>
      <c r="D535" s="512">
        <v>233116</v>
      </c>
      <c r="E535" s="517">
        <v>9</v>
      </c>
      <c r="F535" s="571">
        <f t="shared" si="35"/>
        <v>88143</v>
      </c>
      <c r="G535" s="555">
        <f t="shared" si="36"/>
        <v>75059</v>
      </c>
      <c r="H535" s="505">
        <v>63828</v>
      </c>
      <c r="I535" s="506">
        <v>39726</v>
      </c>
      <c r="J535" s="505">
        <v>11644</v>
      </c>
      <c r="K535" s="507">
        <v>10088</v>
      </c>
      <c r="L535" s="504">
        <v>12671</v>
      </c>
      <c r="M535" s="505">
        <v>0</v>
      </c>
      <c r="N535" s="505">
        <v>0</v>
      </c>
      <c r="O535" s="506">
        <v>23333</v>
      </c>
      <c r="P535" s="506">
        <v>1912</v>
      </c>
      <c r="Q535" s="507"/>
      <c r="R535" s="504"/>
      <c r="S535" s="507"/>
      <c r="T535" s="573">
        <f t="shared" si="37"/>
        <v>0</v>
      </c>
      <c r="U535" s="574">
        <f t="shared" si="38"/>
        <v>0</v>
      </c>
      <c r="V535" s="505">
        <v>0</v>
      </c>
      <c r="W535" s="506">
        <v>0</v>
      </c>
      <c r="X535" s="508">
        <v>0</v>
      </c>
      <c r="Y535" s="507">
        <v>0</v>
      </c>
      <c r="Z535" s="504">
        <v>0</v>
      </c>
      <c r="AA535" s="505">
        <v>0</v>
      </c>
      <c r="AB535" s="505">
        <v>0</v>
      </c>
      <c r="AC535" s="506">
        <v>0</v>
      </c>
      <c r="AD535" s="506">
        <v>0</v>
      </c>
      <c r="AE535" s="509"/>
      <c r="AF535" s="504">
        <v>0</v>
      </c>
      <c r="AG535" s="506"/>
    </row>
    <row r="536" spans="1:33">
      <c r="A536" s="503" t="s">
        <v>84</v>
      </c>
      <c r="B536" s="501" t="s">
        <v>770</v>
      </c>
      <c r="C536" s="516"/>
      <c r="D536" s="512">
        <v>233639</v>
      </c>
      <c r="E536" s="517">
        <v>9</v>
      </c>
      <c r="F536" s="571">
        <f t="shared" si="35"/>
        <v>115613</v>
      </c>
      <c r="G536" s="555">
        <f t="shared" si="36"/>
        <v>91630</v>
      </c>
      <c r="H536" s="505">
        <v>32261</v>
      </c>
      <c r="I536" s="506">
        <v>64414</v>
      </c>
      <c r="J536" s="505">
        <v>55544</v>
      </c>
      <c r="K536" s="507">
        <v>11752</v>
      </c>
      <c r="L536" s="504">
        <v>26485</v>
      </c>
      <c r="M536" s="505">
        <v>1323</v>
      </c>
      <c r="N536" s="505">
        <v>0</v>
      </c>
      <c r="O536" s="506">
        <v>15052</v>
      </c>
      <c r="P536" s="506">
        <v>412</v>
      </c>
      <c r="Q536" s="507"/>
      <c r="R536" s="504"/>
      <c r="S536" s="507"/>
      <c r="T536" s="573">
        <f t="shared" si="37"/>
        <v>0</v>
      </c>
      <c r="U536" s="574">
        <f t="shared" si="38"/>
        <v>0</v>
      </c>
      <c r="V536" s="505">
        <v>0</v>
      </c>
      <c r="W536" s="506">
        <v>0</v>
      </c>
      <c r="X536" s="508">
        <v>0</v>
      </c>
      <c r="Y536" s="507">
        <v>0</v>
      </c>
      <c r="Z536" s="504">
        <v>0</v>
      </c>
      <c r="AA536" s="505">
        <v>0</v>
      </c>
      <c r="AB536" s="505">
        <v>0</v>
      </c>
      <c r="AC536" s="506">
        <v>0</v>
      </c>
      <c r="AD536" s="506">
        <v>0</v>
      </c>
      <c r="AE536" s="509"/>
      <c r="AF536" s="504">
        <v>0</v>
      </c>
      <c r="AG536" s="506"/>
    </row>
    <row r="537" spans="1:33">
      <c r="A537" s="503" t="s">
        <v>84</v>
      </c>
      <c r="B537" s="501" t="s">
        <v>771</v>
      </c>
      <c r="C537" s="516"/>
      <c r="D537" s="512">
        <v>233648</v>
      </c>
      <c r="E537" s="517">
        <v>9</v>
      </c>
      <c r="F537" s="571">
        <f t="shared" si="35"/>
        <v>75145</v>
      </c>
      <c r="G537" s="555">
        <f t="shared" si="36"/>
        <v>120284</v>
      </c>
      <c r="H537" s="505">
        <v>29666</v>
      </c>
      <c r="I537" s="506">
        <v>31186</v>
      </c>
      <c r="J537" s="505">
        <v>23308</v>
      </c>
      <c r="K537" s="507">
        <v>58575</v>
      </c>
      <c r="L537" s="504">
        <v>18796</v>
      </c>
      <c r="M537" s="505">
        <v>3375</v>
      </c>
      <c r="N537" s="505">
        <v>0</v>
      </c>
      <c r="O537" s="506">
        <v>29145</v>
      </c>
      <c r="P537" s="506">
        <v>1378</v>
      </c>
      <c r="Q537" s="507"/>
      <c r="R537" s="504"/>
      <c r="S537" s="507"/>
      <c r="T537" s="573">
        <f t="shared" si="37"/>
        <v>0</v>
      </c>
      <c r="U537" s="574">
        <f t="shared" si="38"/>
        <v>0</v>
      </c>
      <c r="V537" s="505">
        <v>0</v>
      </c>
      <c r="W537" s="506">
        <v>0</v>
      </c>
      <c r="X537" s="508">
        <v>0</v>
      </c>
      <c r="Y537" s="507">
        <v>0</v>
      </c>
      <c r="Z537" s="504">
        <v>0</v>
      </c>
      <c r="AA537" s="505">
        <v>0</v>
      </c>
      <c r="AB537" s="505">
        <v>0</v>
      </c>
      <c r="AC537" s="506">
        <v>0</v>
      </c>
      <c r="AD537" s="506">
        <v>0</v>
      </c>
      <c r="AE537" s="509"/>
      <c r="AF537" s="504">
        <v>0</v>
      </c>
      <c r="AG537" s="506"/>
    </row>
    <row r="538" spans="1:33">
      <c r="A538" s="503" t="s">
        <v>84</v>
      </c>
      <c r="B538" s="501" t="s">
        <v>772</v>
      </c>
      <c r="C538" s="510"/>
      <c r="D538" s="512">
        <v>233949</v>
      </c>
      <c r="E538" s="517">
        <v>9</v>
      </c>
      <c r="F538" s="571">
        <f t="shared" si="35"/>
        <v>147852</v>
      </c>
      <c r="G538" s="555">
        <f t="shared" si="36"/>
        <v>66830</v>
      </c>
      <c r="H538" s="505">
        <v>97067</v>
      </c>
      <c r="I538" s="506">
        <v>26128</v>
      </c>
      <c r="J538" s="505">
        <v>22641</v>
      </c>
      <c r="K538" s="507">
        <v>18665</v>
      </c>
      <c r="L538" s="504">
        <v>21467</v>
      </c>
      <c r="M538" s="505">
        <v>6677</v>
      </c>
      <c r="N538" s="505">
        <v>0</v>
      </c>
      <c r="O538" s="506">
        <v>18884</v>
      </c>
      <c r="P538" s="506">
        <v>3153</v>
      </c>
      <c r="Q538" s="507"/>
      <c r="R538" s="504"/>
      <c r="S538" s="507"/>
      <c r="T538" s="573">
        <f t="shared" si="37"/>
        <v>0</v>
      </c>
      <c r="U538" s="574">
        <f t="shared" si="38"/>
        <v>0</v>
      </c>
      <c r="V538" s="505">
        <v>0</v>
      </c>
      <c r="W538" s="506">
        <v>0</v>
      </c>
      <c r="X538" s="508">
        <v>0</v>
      </c>
      <c r="Y538" s="507">
        <v>0</v>
      </c>
      <c r="Z538" s="504">
        <v>0</v>
      </c>
      <c r="AA538" s="505">
        <v>0</v>
      </c>
      <c r="AB538" s="505">
        <v>0</v>
      </c>
      <c r="AC538" s="506">
        <v>0</v>
      </c>
      <c r="AD538" s="506">
        <v>0</v>
      </c>
      <c r="AE538" s="509"/>
      <c r="AF538" s="504">
        <v>0</v>
      </c>
      <c r="AG538" s="506"/>
    </row>
    <row r="539" spans="1:33">
      <c r="A539" s="503" t="s">
        <v>84</v>
      </c>
      <c r="B539" s="501" t="s">
        <v>781</v>
      </c>
      <c r="C539" s="515" t="s">
        <v>785</v>
      </c>
      <c r="D539" s="512">
        <v>234377</v>
      </c>
      <c r="E539" s="585">
        <v>9</v>
      </c>
      <c r="F539" s="571">
        <f t="shared" si="35"/>
        <v>74124</v>
      </c>
      <c r="G539" s="555">
        <f t="shared" si="36"/>
        <v>72616</v>
      </c>
      <c r="H539" s="505">
        <v>18220</v>
      </c>
      <c r="I539" s="506">
        <v>16905</v>
      </c>
      <c r="J539" s="505">
        <v>22192</v>
      </c>
      <c r="K539" s="507">
        <v>19578</v>
      </c>
      <c r="L539" s="504">
        <v>29253</v>
      </c>
      <c r="M539" s="505">
        <v>4459</v>
      </c>
      <c r="N539" s="505">
        <v>0</v>
      </c>
      <c r="O539" s="506">
        <v>32402</v>
      </c>
      <c r="P539" s="506">
        <v>3731</v>
      </c>
      <c r="Q539" s="507"/>
      <c r="R539" s="504"/>
      <c r="S539" s="507"/>
      <c r="T539" s="573">
        <f t="shared" si="37"/>
        <v>0</v>
      </c>
      <c r="U539" s="574">
        <f t="shared" si="38"/>
        <v>0</v>
      </c>
      <c r="V539" s="505">
        <v>0</v>
      </c>
      <c r="W539" s="506">
        <v>0</v>
      </c>
      <c r="X539" s="508">
        <v>0</v>
      </c>
      <c r="Y539" s="507">
        <v>0</v>
      </c>
      <c r="Z539" s="504">
        <v>0</v>
      </c>
      <c r="AA539" s="505">
        <v>0</v>
      </c>
      <c r="AB539" s="505">
        <v>0</v>
      </c>
      <c r="AC539" s="506">
        <v>0</v>
      </c>
      <c r="AD539" s="506">
        <v>0</v>
      </c>
      <c r="AE539" s="509"/>
      <c r="AF539" s="504">
        <v>0</v>
      </c>
      <c r="AG539" s="506"/>
    </row>
    <row r="540" spans="1:33">
      <c r="A540" s="503" t="s">
        <v>84</v>
      </c>
      <c r="B540" s="501" t="s">
        <v>773</v>
      </c>
      <c r="C540" s="510"/>
      <c r="D540" s="512">
        <v>231873</v>
      </c>
      <c r="E540" s="517">
        <v>10</v>
      </c>
      <c r="F540" s="571">
        <f t="shared" si="35"/>
        <v>26089</v>
      </c>
      <c r="G540" s="555">
        <f t="shared" si="36"/>
        <v>147745</v>
      </c>
      <c r="H540" s="505">
        <v>9774</v>
      </c>
      <c r="I540" s="506">
        <v>97857</v>
      </c>
      <c r="J540" s="505">
        <v>5978</v>
      </c>
      <c r="K540" s="507">
        <v>21373</v>
      </c>
      <c r="L540" s="504">
        <v>2487</v>
      </c>
      <c r="M540" s="505">
        <v>7850</v>
      </c>
      <c r="N540" s="505">
        <v>0</v>
      </c>
      <c r="O540" s="506">
        <v>21550</v>
      </c>
      <c r="P540" s="506">
        <v>6965</v>
      </c>
      <c r="Q540" s="507"/>
      <c r="R540" s="504"/>
      <c r="S540" s="507"/>
      <c r="T540" s="573">
        <f t="shared" si="37"/>
        <v>0</v>
      </c>
      <c r="U540" s="574">
        <f t="shared" si="38"/>
        <v>0</v>
      </c>
      <c r="V540" s="505">
        <v>0</v>
      </c>
      <c r="W540" s="506">
        <v>0</v>
      </c>
      <c r="X540" s="508">
        <v>0</v>
      </c>
      <c r="Y540" s="507">
        <v>0</v>
      </c>
      <c r="Z540" s="504">
        <v>0</v>
      </c>
      <c r="AA540" s="505">
        <v>0</v>
      </c>
      <c r="AB540" s="505">
        <v>0</v>
      </c>
      <c r="AC540" s="506">
        <v>0</v>
      </c>
      <c r="AD540" s="506">
        <v>0</v>
      </c>
      <c r="AE540" s="509"/>
      <c r="AF540" s="504">
        <v>0</v>
      </c>
      <c r="AG540" s="506"/>
    </row>
    <row r="541" spans="1:33">
      <c r="A541" s="503" t="s">
        <v>84</v>
      </c>
      <c r="B541" s="501" t="s">
        <v>774</v>
      </c>
      <c r="C541" s="510"/>
      <c r="D541" s="512">
        <v>232052</v>
      </c>
      <c r="E541" s="586">
        <v>10</v>
      </c>
      <c r="F541" s="571">
        <f t="shared" si="35"/>
        <v>20534</v>
      </c>
      <c r="G541" s="555">
        <f t="shared" si="36"/>
        <v>26632</v>
      </c>
      <c r="H541" s="505">
        <v>14384</v>
      </c>
      <c r="I541" s="506">
        <v>9670</v>
      </c>
      <c r="J541" s="505">
        <v>2661</v>
      </c>
      <c r="K541" s="507">
        <v>6672</v>
      </c>
      <c r="L541" s="504">
        <v>3489</v>
      </c>
      <c r="M541" s="505">
        <v>0</v>
      </c>
      <c r="N541" s="505">
        <v>0</v>
      </c>
      <c r="O541" s="506">
        <v>2708</v>
      </c>
      <c r="P541" s="506">
        <v>7582</v>
      </c>
      <c r="Q541" s="507"/>
      <c r="R541" s="504"/>
      <c r="S541" s="507"/>
      <c r="T541" s="573">
        <f t="shared" si="37"/>
        <v>0</v>
      </c>
      <c r="U541" s="574">
        <f t="shared" si="38"/>
        <v>0</v>
      </c>
      <c r="V541" s="505">
        <v>0</v>
      </c>
      <c r="W541" s="506">
        <v>0</v>
      </c>
      <c r="X541" s="508">
        <v>0</v>
      </c>
      <c r="Y541" s="507">
        <v>0</v>
      </c>
      <c r="Z541" s="504">
        <v>0</v>
      </c>
      <c r="AA541" s="505">
        <v>0</v>
      </c>
      <c r="AB541" s="505">
        <v>0</v>
      </c>
      <c r="AC541" s="506">
        <v>0</v>
      </c>
      <c r="AD541" s="506">
        <v>0</v>
      </c>
      <c r="AE541" s="509"/>
      <c r="AF541" s="504">
        <v>0</v>
      </c>
      <c r="AG541" s="506"/>
    </row>
    <row r="542" spans="1:33">
      <c r="A542" s="503" t="s">
        <v>84</v>
      </c>
      <c r="B542" s="501" t="s">
        <v>775</v>
      </c>
      <c r="C542" s="510" t="s">
        <v>296</v>
      </c>
      <c r="D542" s="512">
        <v>232788</v>
      </c>
      <c r="E542" s="517">
        <v>10</v>
      </c>
      <c r="F542" s="571">
        <f t="shared" si="35"/>
        <v>65947</v>
      </c>
      <c r="G542" s="555">
        <f t="shared" si="36"/>
        <v>20212</v>
      </c>
      <c r="H542" s="505">
        <v>29771</v>
      </c>
      <c r="I542" s="506">
        <v>14180</v>
      </c>
      <c r="J542" s="505">
        <v>10524</v>
      </c>
      <c r="K542" s="507">
        <v>2383</v>
      </c>
      <c r="L542" s="504">
        <v>23917</v>
      </c>
      <c r="M542" s="505">
        <v>1735</v>
      </c>
      <c r="N542" s="505">
        <v>0</v>
      </c>
      <c r="O542" s="506">
        <v>3649</v>
      </c>
      <c r="P542" s="506">
        <v>0</v>
      </c>
      <c r="Q542" s="507"/>
      <c r="R542" s="504"/>
      <c r="S542" s="507"/>
      <c r="T542" s="573">
        <f t="shared" si="37"/>
        <v>0</v>
      </c>
      <c r="U542" s="574">
        <f t="shared" si="38"/>
        <v>0</v>
      </c>
      <c r="V542" s="505">
        <v>0</v>
      </c>
      <c r="W542" s="506">
        <v>0</v>
      </c>
      <c r="X542" s="508">
        <v>0</v>
      </c>
      <c r="Y542" s="507">
        <v>0</v>
      </c>
      <c r="Z542" s="504">
        <v>0</v>
      </c>
      <c r="AA542" s="505">
        <v>0</v>
      </c>
      <c r="AB542" s="505">
        <v>0</v>
      </c>
      <c r="AC542" s="506">
        <v>0</v>
      </c>
      <c r="AD542" s="506">
        <v>0</v>
      </c>
      <c r="AE542" s="509"/>
      <c r="AF542" s="504">
        <v>0</v>
      </c>
      <c r="AG542" s="506"/>
    </row>
    <row r="543" spans="1:33">
      <c r="A543" s="503" t="s">
        <v>84</v>
      </c>
      <c r="B543" s="501" t="s">
        <v>777</v>
      </c>
      <c r="C543" s="510"/>
      <c r="D543" s="512">
        <v>233037</v>
      </c>
      <c r="E543" s="517">
        <v>10</v>
      </c>
      <c r="F543" s="571">
        <f t="shared" si="35"/>
        <v>30751</v>
      </c>
      <c r="G543" s="555">
        <f t="shared" si="36"/>
        <v>33209</v>
      </c>
      <c r="H543" s="505">
        <v>17424</v>
      </c>
      <c r="I543" s="506">
        <v>17625</v>
      </c>
      <c r="J543" s="505">
        <v>5763</v>
      </c>
      <c r="K543" s="507">
        <v>5671</v>
      </c>
      <c r="L543" s="504">
        <v>6406</v>
      </c>
      <c r="M543" s="505">
        <v>1158</v>
      </c>
      <c r="N543" s="505">
        <v>0</v>
      </c>
      <c r="O543" s="506">
        <v>7655</v>
      </c>
      <c r="P543" s="506">
        <v>2258</v>
      </c>
      <c r="Q543" s="507"/>
      <c r="R543" s="504"/>
      <c r="S543" s="507"/>
      <c r="T543" s="573">
        <f t="shared" si="37"/>
        <v>0</v>
      </c>
      <c r="U543" s="574">
        <f t="shared" si="38"/>
        <v>0</v>
      </c>
      <c r="V543" s="505">
        <v>0</v>
      </c>
      <c r="W543" s="506">
        <v>0</v>
      </c>
      <c r="X543" s="508">
        <v>0</v>
      </c>
      <c r="Y543" s="507">
        <v>0</v>
      </c>
      <c r="Z543" s="504">
        <v>0</v>
      </c>
      <c r="AA543" s="505">
        <v>0</v>
      </c>
      <c r="AB543" s="505">
        <v>0</v>
      </c>
      <c r="AC543" s="506">
        <v>0</v>
      </c>
      <c r="AD543" s="506">
        <v>0</v>
      </c>
      <c r="AE543" s="509"/>
      <c r="AF543" s="504">
        <v>0</v>
      </c>
      <c r="AG543" s="506"/>
    </row>
    <row r="544" spans="1:33">
      <c r="A544" s="503" t="s">
        <v>84</v>
      </c>
      <c r="B544" s="501" t="s">
        <v>778</v>
      </c>
      <c r="C544" s="510" t="s">
        <v>381</v>
      </c>
      <c r="D544" s="512">
        <v>233310</v>
      </c>
      <c r="E544" s="517">
        <v>10</v>
      </c>
      <c r="F544" s="571">
        <f t="shared" si="35"/>
        <v>58268</v>
      </c>
      <c r="G544" s="555">
        <f t="shared" si="36"/>
        <v>60806</v>
      </c>
      <c r="H544" s="505">
        <v>16725</v>
      </c>
      <c r="I544" s="506">
        <v>17501</v>
      </c>
      <c r="J544" s="505">
        <v>16035</v>
      </c>
      <c r="K544" s="507">
        <v>16122</v>
      </c>
      <c r="L544" s="504">
        <v>12884</v>
      </c>
      <c r="M544" s="505">
        <v>12624</v>
      </c>
      <c r="N544" s="505">
        <v>0</v>
      </c>
      <c r="O544" s="506">
        <v>15331</v>
      </c>
      <c r="P544" s="506">
        <v>11852</v>
      </c>
      <c r="Q544" s="507"/>
      <c r="R544" s="504"/>
      <c r="S544" s="507"/>
      <c r="T544" s="573">
        <f t="shared" si="37"/>
        <v>0</v>
      </c>
      <c r="U544" s="574">
        <f t="shared" si="38"/>
        <v>0</v>
      </c>
      <c r="V544" s="505">
        <v>0</v>
      </c>
      <c r="W544" s="506">
        <v>0</v>
      </c>
      <c r="X544" s="508">
        <v>0</v>
      </c>
      <c r="Y544" s="507">
        <v>0</v>
      </c>
      <c r="Z544" s="504">
        <v>0</v>
      </c>
      <c r="AA544" s="505">
        <v>0</v>
      </c>
      <c r="AB544" s="505">
        <v>0</v>
      </c>
      <c r="AC544" s="506">
        <v>0</v>
      </c>
      <c r="AD544" s="506">
        <v>0</v>
      </c>
      <c r="AE544" s="509"/>
      <c r="AF544" s="504">
        <v>0</v>
      </c>
      <c r="AG544" s="506"/>
    </row>
    <row r="545" spans="1:33">
      <c r="A545" s="503" t="s">
        <v>84</v>
      </c>
      <c r="B545" s="501" t="s">
        <v>779</v>
      </c>
      <c r="C545" s="510"/>
      <c r="D545" s="512">
        <v>233338</v>
      </c>
      <c r="E545" s="517">
        <v>10</v>
      </c>
      <c r="F545" s="571">
        <f t="shared" si="35"/>
        <v>35209</v>
      </c>
      <c r="G545" s="555">
        <f t="shared" si="36"/>
        <v>35253</v>
      </c>
      <c r="H545" s="505">
        <v>32786</v>
      </c>
      <c r="I545" s="506">
        <v>32172</v>
      </c>
      <c r="J545" s="505">
        <v>1572</v>
      </c>
      <c r="K545" s="507">
        <v>2100</v>
      </c>
      <c r="L545" s="504">
        <v>851</v>
      </c>
      <c r="M545" s="505">
        <v>0</v>
      </c>
      <c r="N545" s="505">
        <v>0</v>
      </c>
      <c r="O545" s="506">
        <v>981</v>
      </c>
      <c r="P545" s="506">
        <v>0</v>
      </c>
      <c r="Q545" s="507"/>
      <c r="R545" s="504"/>
      <c r="S545" s="507"/>
      <c r="T545" s="573">
        <f t="shared" si="37"/>
        <v>0</v>
      </c>
      <c r="U545" s="574">
        <f t="shared" si="38"/>
        <v>0</v>
      </c>
      <c r="V545" s="505">
        <v>0</v>
      </c>
      <c r="W545" s="506">
        <v>0</v>
      </c>
      <c r="X545" s="508">
        <v>0</v>
      </c>
      <c r="Y545" s="507">
        <v>0</v>
      </c>
      <c r="Z545" s="504">
        <v>0</v>
      </c>
      <c r="AA545" s="505">
        <v>0</v>
      </c>
      <c r="AB545" s="505">
        <v>0</v>
      </c>
      <c r="AC545" s="506">
        <v>0</v>
      </c>
      <c r="AD545" s="506">
        <v>0</v>
      </c>
      <c r="AE545" s="509"/>
      <c r="AF545" s="504">
        <v>0</v>
      </c>
      <c r="AG545" s="506"/>
    </row>
    <row r="546" spans="1:33">
      <c r="A546" s="503" t="s">
        <v>84</v>
      </c>
      <c r="B546" s="501" t="s">
        <v>780</v>
      </c>
      <c r="C546" s="510"/>
      <c r="D546" s="512">
        <v>233903</v>
      </c>
      <c r="E546" s="586">
        <v>10</v>
      </c>
      <c r="F546" s="571">
        <f t="shared" si="35"/>
        <v>56123</v>
      </c>
      <c r="G546" s="555">
        <f t="shared" si="36"/>
        <v>54973</v>
      </c>
      <c r="H546" s="505">
        <v>34830</v>
      </c>
      <c r="I546" s="506">
        <v>32955</v>
      </c>
      <c r="J546" s="505">
        <v>7037</v>
      </c>
      <c r="K546" s="507">
        <v>7638</v>
      </c>
      <c r="L546" s="504">
        <v>11977</v>
      </c>
      <c r="M546" s="505">
        <v>2279</v>
      </c>
      <c r="N546" s="505">
        <v>0</v>
      </c>
      <c r="O546" s="506">
        <v>12204</v>
      </c>
      <c r="P546" s="506">
        <v>2176</v>
      </c>
      <c r="Q546" s="507"/>
      <c r="R546" s="504"/>
      <c r="S546" s="507"/>
      <c r="T546" s="573">
        <f t="shared" si="37"/>
        <v>0</v>
      </c>
      <c r="U546" s="574">
        <f t="shared" si="38"/>
        <v>0</v>
      </c>
      <c r="V546" s="505">
        <v>0</v>
      </c>
      <c r="W546" s="506">
        <v>0</v>
      </c>
      <c r="X546" s="508">
        <v>0</v>
      </c>
      <c r="Y546" s="507">
        <v>0</v>
      </c>
      <c r="Z546" s="504">
        <v>0</v>
      </c>
      <c r="AA546" s="505">
        <v>0</v>
      </c>
      <c r="AB546" s="505">
        <v>0</v>
      </c>
      <c r="AC546" s="506">
        <v>0</v>
      </c>
      <c r="AD546" s="506">
        <v>0</v>
      </c>
      <c r="AE546" s="509"/>
      <c r="AF546" s="504">
        <v>0</v>
      </c>
      <c r="AG546" s="506"/>
    </row>
    <row r="547" spans="1:33">
      <c r="A547" s="407" t="s">
        <v>85</v>
      </c>
      <c r="B547" s="408" t="s">
        <v>516</v>
      </c>
      <c r="C547" s="409"/>
      <c r="D547" s="410">
        <v>238032</v>
      </c>
      <c r="E547" s="411">
        <v>1</v>
      </c>
      <c r="F547" s="571">
        <f t="shared" si="35"/>
        <v>650374</v>
      </c>
      <c r="G547" s="555">
        <f t="shared" si="36"/>
        <v>662072</v>
      </c>
      <c r="H547" s="365">
        <v>606693</v>
      </c>
      <c r="I547" s="366">
        <v>612957</v>
      </c>
      <c r="J547" s="365">
        <v>1175</v>
      </c>
      <c r="K547" s="367">
        <v>1533</v>
      </c>
      <c r="L547" s="360">
        <v>39902</v>
      </c>
      <c r="M547" s="365"/>
      <c r="N547" s="365">
        <v>2604</v>
      </c>
      <c r="O547" s="366">
        <v>44920</v>
      </c>
      <c r="P547" s="366">
        <v>24</v>
      </c>
      <c r="Q547" s="367">
        <v>2638</v>
      </c>
      <c r="R547" s="360"/>
      <c r="S547" s="367"/>
      <c r="T547" s="573">
        <f t="shared" si="37"/>
        <v>112337</v>
      </c>
      <c r="U547" s="574">
        <f t="shared" si="38"/>
        <v>111929</v>
      </c>
      <c r="V547" s="365">
        <v>74358</v>
      </c>
      <c r="W547" s="366">
        <v>73384</v>
      </c>
      <c r="X547" s="368">
        <v>10645</v>
      </c>
      <c r="Y547" s="367">
        <v>10052</v>
      </c>
      <c r="Z547" s="360">
        <v>24476</v>
      </c>
      <c r="AA547" s="365">
        <v>2395</v>
      </c>
      <c r="AB547" s="365">
        <v>463</v>
      </c>
      <c r="AC547" s="366">
        <v>27481</v>
      </c>
      <c r="AD547" s="366">
        <f>18+812</f>
        <v>830</v>
      </c>
      <c r="AE547" s="369">
        <v>182</v>
      </c>
      <c r="AF547" s="360"/>
      <c r="AG547" s="366"/>
    </row>
    <row r="548" spans="1:33">
      <c r="A548" s="407" t="s">
        <v>85</v>
      </c>
      <c r="B548" s="408" t="s">
        <v>517</v>
      </c>
      <c r="C548" s="409"/>
      <c r="D548" s="410">
        <v>237525</v>
      </c>
      <c r="E548" s="411">
        <v>3</v>
      </c>
      <c r="F548" s="571">
        <f t="shared" si="35"/>
        <v>268026</v>
      </c>
      <c r="G548" s="555">
        <f t="shared" si="36"/>
        <v>274112</v>
      </c>
      <c r="H548" s="365">
        <v>218335</v>
      </c>
      <c r="I548" s="366">
        <v>219156</v>
      </c>
      <c r="J548" s="365">
        <v>14845</v>
      </c>
      <c r="K548" s="367">
        <v>16098</v>
      </c>
      <c r="L548" s="360">
        <v>34600</v>
      </c>
      <c r="M548" s="365">
        <v>246</v>
      </c>
      <c r="N548" s="365"/>
      <c r="O548" s="366">
        <v>37728</v>
      </c>
      <c r="P548" s="366">
        <f>1058+72</f>
        <v>1130</v>
      </c>
      <c r="Q548" s="367"/>
      <c r="R548" s="360"/>
      <c r="S548" s="367"/>
      <c r="T548" s="573">
        <f t="shared" si="37"/>
        <v>55610</v>
      </c>
      <c r="U548" s="574">
        <f t="shared" si="38"/>
        <v>55072</v>
      </c>
      <c r="V548" s="365">
        <v>18341</v>
      </c>
      <c r="W548" s="366">
        <v>16283</v>
      </c>
      <c r="X548" s="368">
        <v>24862</v>
      </c>
      <c r="Y548" s="367">
        <v>27662</v>
      </c>
      <c r="Z548" s="360">
        <v>11933</v>
      </c>
      <c r="AA548" s="365">
        <v>474</v>
      </c>
      <c r="AB548" s="365"/>
      <c r="AC548" s="366">
        <v>10989</v>
      </c>
      <c r="AD548" s="366">
        <f>72+66</f>
        <v>138</v>
      </c>
      <c r="AE548" s="369"/>
      <c r="AF548" s="360"/>
      <c r="AG548" s="366"/>
    </row>
    <row r="549" spans="1:33">
      <c r="A549" s="407" t="s">
        <v>85</v>
      </c>
      <c r="B549" s="408" t="s">
        <v>518</v>
      </c>
      <c r="C549" s="409"/>
      <c r="D549" s="410">
        <v>237367</v>
      </c>
      <c r="E549" s="411">
        <v>5</v>
      </c>
      <c r="F549" s="571">
        <f t="shared" si="35"/>
        <v>120046</v>
      </c>
      <c r="G549" s="555">
        <f t="shared" si="36"/>
        <v>119371</v>
      </c>
      <c r="H549" s="365">
        <v>91278</v>
      </c>
      <c r="I549" s="366">
        <v>90202</v>
      </c>
      <c r="J549" s="365">
        <v>14672</v>
      </c>
      <c r="K549" s="367">
        <v>14854</v>
      </c>
      <c r="L549" s="360">
        <v>14096</v>
      </c>
      <c r="M549" s="365"/>
      <c r="N549" s="365"/>
      <c r="O549" s="366">
        <v>14315</v>
      </c>
      <c r="P549" s="366"/>
      <c r="Q549" s="367"/>
      <c r="R549" s="360"/>
      <c r="S549" s="367"/>
      <c r="T549" s="573">
        <f t="shared" si="37"/>
        <v>5087</v>
      </c>
      <c r="U549" s="574">
        <f t="shared" si="38"/>
        <v>5208</v>
      </c>
      <c r="V549" s="365">
        <v>1281</v>
      </c>
      <c r="W549" s="366">
        <v>1226</v>
      </c>
      <c r="X549" s="368"/>
      <c r="Y549" s="367"/>
      <c r="Z549" s="360">
        <v>3806</v>
      </c>
      <c r="AA549" s="365"/>
      <c r="AB549" s="365"/>
      <c r="AC549" s="366">
        <v>3982</v>
      </c>
      <c r="AD549" s="366"/>
      <c r="AE549" s="369"/>
      <c r="AF549" s="360"/>
      <c r="AG549" s="366"/>
    </row>
    <row r="550" spans="1:33">
      <c r="A550" s="407" t="s">
        <v>85</v>
      </c>
      <c r="B550" s="408" t="s">
        <v>519</v>
      </c>
      <c r="C550" s="409"/>
      <c r="D550" s="410">
        <v>237792</v>
      </c>
      <c r="E550" s="425">
        <v>5</v>
      </c>
      <c r="F550" s="571">
        <f t="shared" si="35"/>
        <v>109161</v>
      </c>
      <c r="G550" s="555">
        <f t="shared" si="36"/>
        <v>111796</v>
      </c>
      <c r="H550" s="365">
        <v>107461</v>
      </c>
      <c r="I550" s="366">
        <v>110273</v>
      </c>
      <c r="J550" s="365"/>
      <c r="K550" s="367"/>
      <c r="L550" s="360">
        <v>1700</v>
      </c>
      <c r="M550" s="365"/>
      <c r="N550" s="365"/>
      <c r="O550" s="366">
        <v>1523</v>
      </c>
      <c r="P550" s="366"/>
      <c r="Q550" s="367"/>
      <c r="R550" s="360"/>
      <c r="S550" s="367"/>
      <c r="T550" s="573">
        <f t="shared" si="37"/>
        <v>3486</v>
      </c>
      <c r="U550" s="574">
        <f t="shared" si="38"/>
        <v>3877</v>
      </c>
      <c r="V550" s="365">
        <v>3132</v>
      </c>
      <c r="W550" s="366">
        <v>3511</v>
      </c>
      <c r="X550" s="368"/>
      <c r="Y550" s="367"/>
      <c r="Z550" s="360">
        <v>354</v>
      </c>
      <c r="AA550" s="365"/>
      <c r="AB550" s="365"/>
      <c r="AC550" s="366">
        <v>366</v>
      </c>
      <c r="AD550" s="366"/>
      <c r="AE550" s="369"/>
      <c r="AF550" s="360"/>
      <c r="AG550" s="366"/>
    </row>
    <row r="551" spans="1:33">
      <c r="A551" s="407" t="s">
        <v>85</v>
      </c>
      <c r="B551" s="408" t="s">
        <v>520</v>
      </c>
      <c r="C551" s="409"/>
      <c r="D551" s="410">
        <v>237215</v>
      </c>
      <c r="E551" s="411">
        <v>6</v>
      </c>
      <c r="F551" s="571">
        <f t="shared" si="35"/>
        <v>56036</v>
      </c>
      <c r="G551" s="555">
        <f t="shared" si="36"/>
        <v>53681</v>
      </c>
      <c r="H551" s="365">
        <v>34354</v>
      </c>
      <c r="I551" s="366">
        <v>30505</v>
      </c>
      <c r="J551" s="365">
        <v>2743</v>
      </c>
      <c r="K551" s="367">
        <v>3414</v>
      </c>
      <c r="L551" s="360">
        <v>16285</v>
      </c>
      <c r="M551" s="365">
        <v>2654</v>
      </c>
      <c r="N551" s="365"/>
      <c r="O551" s="366">
        <v>16079</v>
      </c>
      <c r="P551" s="366">
        <f>2429+1254</f>
        <v>3683</v>
      </c>
      <c r="Q551" s="367"/>
      <c r="R551" s="360"/>
      <c r="S551" s="367"/>
      <c r="T551" s="573">
        <f t="shared" si="37"/>
        <v>0</v>
      </c>
      <c r="U551" s="574">
        <f t="shared" si="38"/>
        <v>0</v>
      </c>
      <c r="V551" s="365"/>
      <c r="W551" s="366"/>
      <c r="X551" s="368"/>
      <c r="Y551" s="367"/>
      <c r="Z551" s="360"/>
      <c r="AA551" s="365"/>
      <c r="AB551" s="365"/>
      <c r="AC551" s="366"/>
      <c r="AD551" s="366"/>
      <c r="AE551" s="369"/>
      <c r="AF551" s="360"/>
      <c r="AG551" s="366"/>
    </row>
    <row r="552" spans="1:33">
      <c r="A552" s="407" t="s">
        <v>85</v>
      </c>
      <c r="B552" s="408" t="s">
        <v>521</v>
      </c>
      <c r="C552" s="409"/>
      <c r="D552" s="410">
        <v>237330</v>
      </c>
      <c r="E552" s="411">
        <v>6</v>
      </c>
      <c r="F552" s="571">
        <f t="shared" si="35"/>
        <v>80188</v>
      </c>
      <c r="G552" s="555">
        <f t="shared" si="36"/>
        <v>81167</v>
      </c>
      <c r="H552" s="365">
        <v>65734</v>
      </c>
      <c r="I552" s="366">
        <v>64357</v>
      </c>
      <c r="J552" s="365">
        <v>10548</v>
      </c>
      <c r="K552" s="367">
        <v>10958</v>
      </c>
      <c r="L552" s="360">
        <v>3248</v>
      </c>
      <c r="M552" s="365">
        <v>400</v>
      </c>
      <c r="N552" s="365">
        <v>258</v>
      </c>
      <c r="O552" s="366">
        <v>5259</v>
      </c>
      <c r="P552" s="366">
        <f>275+318</f>
        <v>593</v>
      </c>
      <c r="Q552" s="367"/>
      <c r="R552" s="360"/>
      <c r="S552" s="367"/>
      <c r="T552" s="573">
        <f t="shared" si="37"/>
        <v>2898</v>
      </c>
      <c r="U552" s="574">
        <f t="shared" si="38"/>
        <v>4326</v>
      </c>
      <c r="V552" s="365">
        <v>165</v>
      </c>
      <c r="W552" s="366">
        <v>363</v>
      </c>
      <c r="X552" s="368">
        <v>342</v>
      </c>
      <c r="Y552" s="367">
        <v>732</v>
      </c>
      <c r="Z552" s="360">
        <v>2391</v>
      </c>
      <c r="AA552" s="365"/>
      <c r="AB552" s="365"/>
      <c r="AC552" s="366">
        <v>3231</v>
      </c>
      <c r="AD552" s="366"/>
      <c r="AE552" s="369"/>
      <c r="AF552" s="360"/>
      <c r="AG552" s="366"/>
    </row>
    <row r="553" spans="1:33">
      <c r="A553" s="407" t="s">
        <v>85</v>
      </c>
      <c r="B553" s="408" t="s">
        <v>522</v>
      </c>
      <c r="C553" s="409"/>
      <c r="D553" s="410">
        <v>237385</v>
      </c>
      <c r="E553" s="411">
        <v>6</v>
      </c>
      <c r="F553" s="571">
        <f t="shared" si="35"/>
        <v>44658</v>
      </c>
      <c r="G553" s="555">
        <f t="shared" si="36"/>
        <v>45017</v>
      </c>
      <c r="H553" s="365">
        <v>34424</v>
      </c>
      <c r="I553" s="366">
        <v>34308</v>
      </c>
      <c r="J553" s="365">
        <v>4693</v>
      </c>
      <c r="K553" s="367">
        <v>5066</v>
      </c>
      <c r="L553" s="360">
        <v>5541</v>
      </c>
      <c r="M553" s="365"/>
      <c r="N553" s="365"/>
      <c r="O553" s="366">
        <v>5643</v>
      </c>
      <c r="P553" s="366"/>
      <c r="Q553" s="367"/>
      <c r="R553" s="360"/>
      <c r="S553" s="367"/>
      <c r="T553" s="573">
        <f t="shared" si="37"/>
        <v>0</v>
      </c>
      <c r="U553" s="574">
        <f t="shared" si="38"/>
        <v>0</v>
      </c>
      <c r="V553" s="365"/>
      <c r="W553" s="366"/>
      <c r="X553" s="368"/>
      <c r="Y553" s="367"/>
      <c r="Z553" s="360"/>
      <c r="AA553" s="365"/>
      <c r="AB553" s="365"/>
      <c r="AC553" s="366"/>
      <c r="AD553" s="366"/>
      <c r="AE553" s="369"/>
      <c r="AF553" s="360"/>
      <c r="AG553" s="366"/>
    </row>
    <row r="554" spans="1:33">
      <c r="A554" s="407" t="s">
        <v>85</v>
      </c>
      <c r="B554" s="426" t="s">
        <v>523</v>
      </c>
      <c r="C554" s="409"/>
      <c r="D554" s="410">
        <v>237932</v>
      </c>
      <c r="E554" s="411">
        <v>6</v>
      </c>
      <c r="F554" s="571">
        <f t="shared" si="35"/>
        <v>76144</v>
      </c>
      <c r="G554" s="555">
        <f t="shared" si="36"/>
        <v>76878</v>
      </c>
      <c r="H554" s="365">
        <v>67505</v>
      </c>
      <c r="I554" s="366">
        <v>66294</v>
      </c>
      <c r="J554" s="365">
        <v>4721</v>
      </c>
      <c r="K554" s="367">
        <v>4492</v>
      </c>
      <c r="L554" s="360">
        <v>3918</v>
      </c>
      <c r="M554" s="365"/>
      <c r="N554" s="365"/>
      <c r="O554" s="366">
        <v>6092</v>
      </c>
      <c r="P554" s="366"/>
      <c r="Q554" s="367"/>
      <c r="R554" s="360"/>
      <c r="S554" s="367"/>
      <c r="T554" s="573">
        <f t="shared" si="37"/>
        <v>1122</v>
      </c>
      <c r="U554" s="574">
        <f t="shared" si="38"/>
        <v>1020</v>
      </c>
      <c r="V554" s="365">
        <v>51</v>
      </c>
      <c r="W554" s="366">
        <v>24</v>
      </c>
      <c r="X554" s="368">
        <v>1071</v>
      </c>
      <c r="Y554" s="367">
        <v>966</v>
      </c>
      <c r="Z554" s="360"/>
      <c r="AA554" s="365"/>
      <c r="AB554" s="365"/>
      <c r="AC554" s="366">
        <v>30</v>
      </c>
      <c r="AD554" s="366"/>
      <c r="AE554" s="369"/>
      <c r="AF554" s="360"/>
      <c r="AG554" s="366"/>
    </row>
    <row r="555" spans="1:33">
      <c r="A555" s="407" t="s">
        <v>85</v>
      </c>
      <c r="B555" s="408" t="s">
        <v>524</v>
      </c>
      <c r="C555" s="409"/>
      <c r="D555" s="410">
        <v>237899</v>
      </c>
      <c r="E555" s="411">
        <v>6</v>
      </c>
      <c r="F555" s="571">
        <f t="shared" si="35"/>
        <v>76697</v>
      </c>
      <c r="G555" s="555">
        <f t="shared" si="36"/>
        <v>69990</v>
      </c>
      <c r="H555" s="365">
        <v>68122</v>
      </c>
      <c r="I555" s="366">
        <v>58141</v>
      </c>
      <c r="J555" s="365">
        <v>2359</v>
      </c>
      <c r="K555" s="367">
        <v>2294</v>
      </c>
      <c r="L555" s="360">
        <v>6216</v>
      </c>
      <c r="M555" s="365"/>
      <c r="N555" s="365"/>
      <c r="O555" s="366">
        <v>9555</v>
      </c>
      <c r="P555" s="366"/>
      <c r="Q555" s="367"/>
      <c r="R555" s="360"/>
      <c r="S555" s="367"/>
      <c r="T555" s="573">
        <f t="shared" si="37"/>
        <v>757</v>
      </c>
      <c r="U555" s="574">
        <f t="shared" si="38"/>
        <v>710</v>
      </c>
      <c r="V555" s="365">
        <v>757</v>
      </c>
      <c r="W555" s="366">
        <v>626</v>
      </c>
      <c r="X555" s="368"/>
      <c r="Y555" s="367"/>
      <c r="Z555" s="360"/>
      <c r="AA555" s="365"/>
      <c r="AB555" s="365"/>
      <c r="AC555" s="366">
        <v>84</v>
      </c>
      <c r="AD555" s="366"/>
      <c r="AE555" s="369"/>
      <c r="AF555" s="360"/>
      <c r="AG555" s="366"/>
    </row>
    <row r="556" spans="1:33">
      <c r="A556" s="407" t="s">
        <v>85</v>
      </c>
      <c r="B556" s="408" t="s">
        <v>525</v>
      </c>
      <c r="C556" s="409"/>
      <c r="D556" s="410">
        <v>237950</v>
      </c>
      <c r="E556" s="411">
        <v>6</v>
      </c>
      <c r="F556" s="571">
        <f t="shared" si="35"/>
        <v>32269</v>
      </c>
      <c r="G556" s="555">
        <f t="shared" si="36"/>
        <v>32977</v>
      </c>
      <c r="H556" s="365">
        <v>29837</v>
      </c>
      <c r="I556" s="366">
        <v>30082</v>
      </c>
      <c r="J556" s="365">
        <v>936</v>
      </c>
      <c r="K556" s="367">
        <v>1123</v>
      </c>
      <c r="L556" s="360">
        <v>1496</v>
      </c>
      <c r="M556" s="365"/>
      <c r="N556" s="365"/>
      <c r="O556" s="366">
        <v>1735</v>
      </c>
      <c r="P556" s="366"/>
      <c r="Q556" s="367">
        <v>37</v>
      </c>
      <c r="R556" s="360"/>
      <c r="S556" s="367"/>
      <c r="T556" s="573">
        <f t="shared" si="37"/>
        <v>0</v>
      </c>
      <c r="U556" s="574">
        <f t="shared" si="38"/>
        <v>0</v>
      </c>
      <c r="V556" s="365"/>
      <c r="W556" s="366"/>
      <c r="X556" s="368"/>
      <c r="Y556" s="367"/>
      <c r="Z556" s="360"/>
      <c r="AA556" s="365"/>
      <c r="AB556" s="365"/>
      <c r="AC556" s="366"/>
      <c r="AD556" s="366"/>
      <c r="AE556" s="369"/>
      <c r="AF556" s="360"/>
      <c r="AG556" s="366"/>
    </row>
    <row r="557" spans="1:33">
      <c r="A557" s="407" t="s">
        <v>85</v>
      </c>
      <c r="B557" s="427" t="s">
        <v>526</v>
      </c>
      <c r="C557" s="409"/>
      <c r="D557" s="410">
        <v>237701</v>
      </c>
      <c r="E557" s="411">
        <v>7</v>
      </c>
      <c r="F557" s="571">
        <f t="shared" si="35"/>
        <v>44503</v>
      </c>
      <c r="G557" s="555">
        <f t="shared" si="36"/>
        <v>45062</v>
      </c>
      <c r="H557" s="365">
        <v>39718</v>
      </c>
      <c r="I557" s="366">
        <v>39714</v>
      </c>
      <c r="J557" s="365">
        <v>3084</v>
      </c>
      <c r="K557" s="367">
        <v>3169</v>
      </c>
      <c r="L557" s="360">
        <v>1701</v>
      </c>
      <c r="M557" s="365"/>
      <c r="N557" s="365"/>
      <c r="O557" s="366">
        <v>2177</v>
      </c>
      <c r="P557" s="366"/>
      <c r="Q557" s="367">
        <v>2</v>
      </c>
      <c r="R557" s="360"/>
      <c r="S557" s="367"/>
      <c r="T557" s="573">
        <f t="shared" si="37"/>
        <v>0</v>
      </c>
      <c r="U557" s="574">
        <f t="shared" si="38"/>
        <v>0</v>
      </c>
      <c r="V557" s="365"/>
      <c r="W557" s="366"/>
      <c r="X557" s="368"/>
      <c r="Y557" s="367"/>
      <c r="Z557" s="360"/>
      <c r="AA557" s="365"/>
      <c r="AB557" s="365"/>
      <c r="AC557" s="366"/>
      <c r="AD557" s="366"/>
      <c r="AE557" s="369"/>
      <c r="AF557" s="360"/>
      <c r="AG557" s="366"/>
    </row>
    <row r="558" spans="1:33">
      <c r="A558" s="407" t="s">
        <v>85</v>
      </c>
      <c r="B558" s="408" t="s">
        <v>527</v>
      </c>
      <c r="C558" s="409"/>
      <c r="D558" s="410">
        <v>237686</v>
      </c>
      <c r="E558" s="411">
        <v>7</v>
      </c>
      <c r="F558" s="571">
        <f t="shared" si="35"/>
        <v>105288</v>
      </c>
      <c r="G558" s="555">
        <f t="shared" si="36"/>
        <v>103504</v>
      </c>
      <c r="H558" s="365">
        <v>63066</v>
      </c>
      <c r="I558" s="366">
        <v>58448</v>
      </c>
      <c r="J558" s="365">
        <v>16754</v>
      </c>
      <c r="K558" s="367">
        <v>15846</v>
      </c>
      <c r="L558" s="360">
        <v>24240</v>
      </c>
      <c r="M558" s="365"/>
      <c r="N558" s="365">
        <v>1228</v>
      </c>
      <c r="O558" s="366">
        <v>28059</v>
      </c>
      <c r="P558" s="366"/>
      <c r="Q558" s="367">
        <v>1151</v>
      </c>
      <c r="R558" s="360"/>
      <c r="S558" s="367"/>
      <c r="T558" s="573">
        <f t="shared" si="37"/>
        <v>0</v>
      </c>
      <c r="U558" s="574">
        <f t="shared" si="38"/>
        <v>0</v>
      </c>
      <c r="V558" s="365"/>
      <c r="W558" s="366"/>
      <c r="X558" s="368"/>
      <c r="Y558" s="367"/>
      <c r="Z558" s="360"/>
      <c r="AA558" s="365"/>
      <c r="AB558" s="365"/>
      <c r="AC558" s="366"/>
      <c r="AD558" s="366"/>
      <c r="AE558" s="369"/>
      <c r="AF558" s="360"/>
      <c r="AG558" s="366"/>
    </row>
    <row r="559" spans="1:33">
      <c r="A559" s="407" t="s">
        <v>85</v>
      </c>
      <c r="B559" s="408" t="s">
        <v>536</v>
      </c>
      <c r="C559" s="429" t="s">
        <v>546</v>
      </c>
      <c r="D559" s="410">
        <v>238014</v>
      </c>
      <c r="E559" s="430">
        <v>9</v>
      </c>
      <c r="F559" s="571">
        <f t="shared" si="35"/>
        <v>76666</v>
      </c>
      <c r="G559" s="555">
        <f t="shared" si="36"/>
        <v>71666</v>
      </c>
      <c r="H559" s="365">
        <v>64578</v>
      </c>
      <c r="I559" s="366">
        <v>54256</v>
      </c>
      <c r="J559" s="365"/>
      <c r="K559" s="367"/>
      <c r="L559" s="360">
        <v>9569</v>
      </c>
      <c r="M559" s="365">
        <v>2519</v>
      </c>
      <c r="N559" s="365"/>
      <c r="O559" s="366">
        <v>15446</v>
      </c>
      <c r="P559" s="366">
        <v>1964</v>
      </c>
      <c r="Q559" s="367"/>
      <c r="R559" s="360"/>
      <c r="S559" s="367"/>
      <c r="T559" s="573">
        <f t="shared" si="37"/>
        <v>0</v>
      </c>
      <c r="U559" s="574">
        <f t="shared" si="38"/>
        <v>0</v>
      </c>
      <c r="V559" s="365"/>
      <c r="W559" s="366"/>
      <c r="X559" s="368"/>
      <c r="Y559" s="367"/>
      <c r="Z559" s="360"/>
      <c r="AA559" s="365"/>
      <c r="AB559" s="365"/>
      <c r="AC559" s="366"/>
      <c r="AD559" s="366"/>
      <c r="AE559" s="369"/>
      <c r="AF559" s="360"/>
      <c r="AG559" s="366"/>
    </row>
    <row r="560" spans="1:33">
      <c r="A560" s="407" t="s">
        <v>85</v>
      </c>
      <c r="B560" s="408" t="s">
        <v>528</v>
      </c>
      <c r="C560" s="409"/>
      <c r="D560" s="410">
        <v>446774</v>
      </c>
      <c r="E560" s="411">
        <v>10</v>
      </c>
      <c r="F560" s="571">
        <f t="shared" si="35"/>
        <v>51702</v>
      </c>
      <c r="G560" s="555">
        <f t="shared" si="36"/>
        <v>57685</v>
      </c>
      <c r="H560" s="365">
        <v>26465</v>
      </c>
      <c r="I560" s="366">
        <v>34001</v>
      </c>
      <c r="J560" s="365">
        <v>16456</v>
      </c>
      <c r="K560" s="367">
        <v>12058</v>
      </c>
      <c r="L560" s="360">
        <v>8445</v>
      </c>
      <c r="M560" s="365"/>
      <c r="N560" s="365"/>
      <c r="O560" s="366">
        <v>11494</v>
      </c>
      <c r="P560" s="366"/>
      <c r="Q560" s="367">
        <v>132</v>
      </c>
      <c r="R560" s="360">
        <v>336</v>
      </c>
      <c r="S560" s="367"/>
      <c r="T560" s="573">
        <f t="shared" si="37"/>
        <v>0</v>
      </c>
      <c r="U560" s="574">
        <f t="shared" si="38"/>
        <v>0</v>
      </c>
      <c r="V560" s="365"/>
      <c r="W560" s="366"/>
      <c r="X560" s="368"/>
      <c r="Y560" s="367"/>
      <c r="Z560" s="360"/>
      <c r="AA560" s="365"/>
      <c r="AB560" s="365"/>
      <c r="AC560" s="366"/>
      <c r="AD560" s="366"/>
      <c r="AE560" s="369"/>
      <c r="AF560" s="360"/>
      <c r="AG560" s="366"/>
    </row>
    <row r="561" spans="1:33">
      <c r="A561" s="407" t="s">
        <v>85</v>
      </c>
      <c r="B561" s="408" t="s">
        <v>529</v>
      </c>
      <c r="C561" s="409"/>
      <c r="D561" s="410">
        <v>445674</v>
      </c>
      <c r="E561" s="411">
        <v>10</v>
      </c>
      <c r="F561" s="571">
        <f t="shared" si="35"/>
        <v>17510</v>
      </c>
      <c r="G561" s="555">
        <f t="shared" si="36"/>
        <v>17632</v>
      </c>
      <c r="H561" s="365">
        <v>13773</v>
      </c>
      <c r="I561" s="366">
        <v>14010</v>
      </c>
      <c r="J561" s="365">
        <v>730</v>
      </c>
      <c r="K561" s="367">
        <v>753</v>
      </c>
      <c r="L561" s="360">
        <v>3007</v>
      </c>
      <c r="M561" s="365"/>
      <c r="N561" s="365"/>
      <c r="O561" s="366">
        <v>2869</v>
      </c>
      <c r="P561" s="366"/>
      <c r="Q561" s="367"/>
      <c r="R561" s="360"/>
      <c r="S561" s="367"/>
      <c r="T561" s="573">
        <f t="shared" si="37"/>
        <v>0</v>
      </c>
      <c r="U561" s="574">
        <f t="shared" si="38"/>
        <v>0</v>
      </c>
      <c r="V561" s="365"/>
      <c r="W561" s="366"/>
      <c r="X561" s="368"/>
      <c r="Y561" s="367"/>
      <c r="Z561" s="360"/>
      <c r="AA561" s="365"/>
      <c r="AB561" s="365"/>
      <c r="AC561" s="366"/>
      <c r="AD561" s="366"/>
      <c r="AE561" s="369"/>
      <c r="AF561" s="360"/>
      <c r="AG561" s="366"/>
    </row>
    <row r="562" spans="1:33">
      <c r="A562" s="407" t="s">
        <v>85</v>
      </c>
      <c r="B562" s="408" t="s">
        <v>530</v>
      </c>
      <c r="C562" s="409"/>
      <c r="D562" s="410">
        <v>438708</v>
      </c>
      <c r="E562" s="411">
        <v>10</v>
      </c>
      <c r="F562" s="571">
        <f t="shared" si="35"/>
        <v>10754</v>
      </c>
      <c r="G562" s="555">
        <f t="shared" si="36"/>
        <v>12550</v>
      </c>
      <c r="H562" s="365">
        <v>6168</v>
      </c>
      <c r="I562" s="366">
        <v>6820</v>
      </c>
      <c r="J562" s="365">
        <v>2071</v>
      </c>
      <c r="K562" s="367">
        <v>2718</v>
      </c>
      <c r="L562" s="360">
        <v>2449</v>
      </c>
      <c r="M562" s="365">
        <v>66</v>
      </c>
      <c r="N562" s="365"/>
      <c r="O562" s="366">
        <v>2823</v>
      </c>
      <c r="P562" s="366">
        <f>147+42</f>
        <v>189</v>
      </c>
      <c r="Q562" s="367"/>
      <c r="R562" s="360"/>
      <c r="S562" s="367"/>
      <c r="T562" s="573">
        <f t="shared" si="37"/>
        <v>0</v>
      </c>
      <c r="U562" s="574">
        <f t="shared" si="38"/>
        <v>0</v>
      </c>
      <c r="V562" s="365"/>
      <c r="W562" s="428"/>
      <c r="X562" s="368"/>
      <c r="Y562" s="367"/>
      <c r="Z562" s="360"/>
      <c r="AA562" s="365"/>
      <c r="AB562" s="365"/>
      <c r="AC562" s="366"/>
      <c r="AD562" s="366"/>
      <c r="AE562" s="369"/>
      <c r="AF562" s="360"/>
      <c r="AG562" s="366"/>
    </row>
    <row r="563" spans="1:33">
      <c r="A563" s="407" t="s">
        <v>85</v>
      </c>
      <c r="B563" s="408" t="s">
        <v>531</v>
      </c>
      <c r="C563" s="409"/>
      <c r="D563" s="410">
        <v>445018</v>
      </c>
      <c r="E563" s="411">
        <v>10</v>
      </c>
      <c r="F563" s="571">
        <f t="shared" si="35"/>
        <v>36892</v>
      </c>
      <c r="G563" s="555">
        <f t="shared" si="36"/>
        <v>37414</v>
      </c>
      <c r="H563" s="365">
        <v>31293</v>
      </c>
      <c r="I563" s="366">
        <v>31725</v>
      </c>
      <c r="J563" s="365">
        <v>1767</v>
      </c>
      <c r="K563" s="367">
        <v>2133</v>
      </c>
      <c r="L563" s="360">
        <v>3832</v>
      </c>
      <c r="M563" s="365"/>
      <c r="N563" s="365"/>
      <c r="O563" s="366">
        <v>3556</v>
      </c>
      <c r="P563" s="366"/>
      <c r="Q563" s="367"/>
      <c r="R563" s="360"/>
      <c r="S563" s="367"/>
      <c r="T563" s="573">
        <f t="shared" si="37"/>
        <v>0</v>
      </c>
      <c r="U563" s="574">
        <f t="shared" si="38"/>
        <v>0</v>
      </c>
      <c r="V563" s="365"/>
      <c r="W563" s="576"/>
      <c r="X563" s="368"/>
      <c r="Y563" s="367"/>
      <c r="Z563" s="360"/>
      <c r="AA563" s="365"/>
      <c r="AB563" s="365"/>
      <c r="AC563" s="366"/>
      <c r="AD563" s="366"/>
      <c r="AE563" s="369"/>
      <c r="AF563" s="360"/>
      <c r="AG563" s="366"/>
    </row>
    <row r="564" spans="1:33">
      <c r="A564" s="407" t="s">
        <v>85</v>
      </c>
      <c r="B564" s="408" t="s">
        <v>532</v>
      </c>
      <c r="C564" s="409"/>
      <c r="D564" s="410">
        <v>444954</v>
      </c>
      <c r="E564" s="411">
        <v>10</v>
      </c>
      <c r="F564" s="571">
        <f t="shared" si="35"/>
        <v>57724</v>
      </c>
      <c r="G564" s="555">
        <f t="shared" si="36"/>
        <v>59067</v>
      </c>
      <c r="H564" s="365">
        <v>30220</v>
      </c>
      <c r="I564" s="366">
        <v>30412</v>
      </c>
      <c r="J564" s="365">
        <v>17057</v>
      </c>
      <c r="K564" s="367">
        <v>17059</v>
      </c>
      <c r="L564" s="360">
        <v>10447</v>
      </c>
      <c r="M564" s="365"/>
      <c r="N564" s="365"/>
      <c r="O564" s="366">
        <v>11596</v>
      </c>
      <c r="P564" s="366"/>
      <c r="Q564" s="367"/>
      <c r="R564" s="360"/>
      <c r="S564" s="367"/>
      <c r="T564" s="573">
        <f t="shared" si="37"/>
        <v>0</v>
      </c>
      <c r="U564" s="574">
        <f t="shared" si="38"/>
        <v>0</v>
      </c>
      <c r="V564" s="365"/>
      <c r="W564" s="366"/>
      <c r="X564" s="368"/>
      <c r="Y564" s="367"/>
      <c r="Z564" s="360"/>
      <c r="AA564" s="365"/>
      <c r="AB564" s="365"/>
      <c r="AC564" s="366"/>
      <c r="AD564" s="366"/>
      <c r="AE564" s="369"/>
      <c r="AF564" s="360"/>
      <c r="AG564" s="366"/>
    </row>
    <row r="565" spans="1:33">
      <c r="A565" s="407" t="s">
        <v>85</v>
      </c>
      <c r="B565" s="408" t="s">
        <v>533</v>
      </c>
      <c r="C565" s="409" t="s">
        <v>547</v>
      </c>
      <c r="D565" s="410">
        <v>447582</v>
      </c>
      <c r="E565" s="411">
        <v>10</v>
      </c>
      <c r="F565" s="571">
        <f t="shared" si="35"/>
        <v>66980</v>
      </c>
      <c r="G565" s="555">
        <f t="shared" si="36"/>
        <v>63534</v>
      </c>
      <c r="H565" s="365">
        <v>43791</v>
      </c>
      <c r="I565" s="366">
        <v>38629</v>
      </c>
      <c r="J565" s="365">
        <v>5903</v>
      </c>
      <c r="K565" s="367">
        <v>6848</v>
      </c>
      <c r="L565" s="360">
        <v>13126</v>
      </c>
      <c r="M565" s="365">
        <v>4124</v>
      </c>
      <c r="N565" s="365">
        <v>36</v>
      </c>
      <c r="O565" s="366">
        <v>13089</v>
      </c>
      <c r="P565" s="366">
        <f>4606+308</f>
        <v>4914</v>
      </c>
      <c r="Q565" s="367">
        <v>54</v>
      </c>
      <c r="R565" s="360"/>
      <c r="S565" s="367"/>
      <c r="T565" s="573">
        <f t="shared" si="37"/>
        <v>0</v>
      </c>
      <c r="U565" s="574">
        <f t="shared" si="38"/>
        <v>0</v>
      </c>
      <c r="V565" s="365"/>
      <c r="W565" s="366"/>
      <c r="X565" s="368"/>
      <c r="Y565" s="367"/>
      <c r="Z565" s="360"/>
      <c r="AA565" s="365"/>
      <c r="AB565" s="365"/>
      <c r="AC565" s="366"/>
      <c r="AD565" s="366"/>
      <c r="AE565" s="369"/>
      <c r="AF565" s="360"/>
      <c r="AG565" s="366"/>
    </row>
    <row r="566" spans="1:33">
      <c r="A566" s="407" t="s">
        <v>85</v>
      </c>
      <c r="B566" s="427" t="s">
        <v>534</v>
      </c>
      <c r="C566" s="409" t="s">
        <v>547</v>
      </c>
      <c r="D566" s="410">
        <v>443492</v>
      </c>
      <c r="E566" s="411">
        <v>10</v>
      </c>
      <c r="F566" s="571">
        <f t="shared" si="35"/>
        <v>65108</v>
      </c>
      <c r="G566" s="555">
        <f t="shared" si="36"/>
        <v>68299</v>
      </c>
      <c r="H566" s="365">
        <v>34513</v>
      </c>
      <c r="I566" s="366">
        <v>35395</v>
      </c>
      <c r="J566" s="365">
        <v>23070</v>
      </c>
      <c r="K566" s="367">
        <v>24888</v>
      </c>
      <c r="L566" s="360">
        <v>7525</v>
      </c>
      <c r="M566" s="365"/>
      <c r="N566" s="365"/>
      <c r="O566" s="366">
        <v>8016</v>
      </c>
      <c r="P566" s="366"/>
      <c r="Q566" s="367"/>
      <c r="R566" s="360"/>
      <c r="S566" s="367"/>
      <c r="T566" s="573">
        <f t="shared" si="37"/>
        <v>0</v>
      </c>
      <c r="U566" s="574">
        <f t="shared" si="38"/>
        <v>0</v>
      </c>
      <c r="V566" s="365"/>
      <c r="W566" s="366"/>
      <c r="X566" s="368"/>
      <c r="Y566" s="367"/>
      <c r="Z566" s="360"/>
      <c r="AA566" s="365"/>
      <c r="AB566" s="365"/>
      <c r="AC566" s="366"/>
      <c r="AD566" s="366"/>
      <c r="AE566" s="369"/>
      <c r="AF566" s="360"/>
      <c r="AG566" s="366"/>
    </row>
    <row r="567" spans="1:33">
      <c r="A567" s="407" t="s">
        <v>85</v>
      </c>
      <c r="B567" s="408" t="s">
        <v>535</v>
      </c>
      <c r="C567" s="409"/>
      <c r="D567" s="410">
        <v>237817</v>
      </c>
      <c r="E567" s="411">
        <v>10</v>
      </c>
      <c r="F567" s="571">
        <f t="shared" si="35"/>
        <v>51996</v>
      </c>
      <c r="G567" s="555">
        <f t="shared" si="36"/>
        <v>49297</v>
      </c>
      <c r="H567" s="365">
        <v>38961</v>
      </c>
      <c r="I567" s="366">
        <v>35936</v>
      </c>
      <c r="J567" s="365">
        <v>3577</v>
      </c>
      <c r="K567" s="367">
        <v>3956</v>
      </c>
      <c r="L567" s="360">
        <v>6090</v>
      </c>
      <c r="M567" s="365">
        <v>3368</v>
      </c>
      <c r="N567" s="365"/>
      <c r="O567" s="366">
        <v>7567</v>
      </c>
      <c r="P567" s="366">
        <v>1838</v>
      </c>
      <c r="Q567" s="367"/>
      <c r="R567" s="360"/>
      <c r="S567" s="367"/>
      <c r="T567" s="573">
        <f t="shared" si="37"/>
        <v>0</v>
      </c>
      <c r="U567" s="574">
        <f t="shared" si="38"/>
        <v>0</v>
      </c>
      <c r="V567" s="365"/>
      <c r="W567" s="366"/>
      <c r="X567" s="368"/>
      <c r="Y567" s="367"/>
      <c r="Z567" s="360"/>
      <c r="AA567" s="365"/>
      <c r="AB567" s="365"/>
      <c r="AC567" s="366"/>
      <c r="AD567" s="366"/>
      <c r="AE567" s="369"/>
      <c r="AF567" s="360"/>
      <c r="AG567" s="366"/>
    </row>
  </sheetData>
  <sortState ref="A7:XFD566">
    <sortCondition ref="A7:A566"/>
    <sortCondition ref="E7:E566"/>
    <sortCondition ref="B7:B566"/>
  </sortState>
  <mergeCells count="1">
    <mergeCell ref="H4:I4"/>
  </mergeCells>
  <conditionalFormatting sqref="H78:H82">
    <cfRule type="expression" dxfId="172" priority="1">
      <formula>H78&gt;(G78+(G78*0.1))</formula>
    </cfRule>
    <cfRule type="expression" dxfId="171" priority="2">
      <formula>H78&lt;(G78-(G78*0.1))</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W617"/>
  <sheetViews>
    <sheetView workbookViewId="0">
      <selection sqref="A1:XFD1048576"/>
    </sheetView>
  </sheetViews>
  <sheetFormatPr defaultRowHeight="15"/>
  <cols>
    <col min="1" max="1" width="6" style="213" customWidth="1"/>
    <col min="2" max="2" width="22" style="213" customWidth="1"/>
    <col min="3" max="3" width="11.42578125" style="213" customWidth="1"/>
    <col min="4" max="4" width="11.42578125" style="232" customWidth="1"/>
    <col min="5" max="18" width="9.7109375" style="232" customWidth="1"/>
    <col min="19" max="19" width="9.140625" style="232" customWidth="1"/>
    <col min="20" max="22" width="9.140625" style="213" customWidth="1"/>
    <col min="23" max="16384" width="9.140625" style="213"/>
  </cols>
  <sheetData>
    <row r="3" spans="1:22">
      <c r="A3" s="234"/>
      <c r="B3" s="235"/>
      <c r="C3" s="234"/>
      <c r="D3" s="236"/>
      <c r="E3" s="236"/>
      <c r="F3" s="237"/>
      <c r="G3" s="237"/>
      <c r="H3" s="237"/>
      <c r="I3" s="237"/>
      <c r="J3" s="237"/>
      <c r="K3" s="237"/>
      <c r="L3" s="237"/>
      <c r="M3" s="237"/>
      <c r="N3" s="237"/>
      <c r="O3" s="237"/>
      <c r="P3" s="237"/>
      <c r="Q3" s="237"/>
      <c r="R3" s="238"/>
      <c r="S3" s="15"/>
      <c r="T3" s="15"/>
      <c r="U3" s="15"/>
      <c r="V3" s="15"/>
    </row>
    <row r="4" spans="1:22">
      <c r="A4" s="239"/>
      <c r="B4" s="240"/>
      <c r="C4" s="239"/>
      <c r="D4" s="241"/>
      <c r="E4" s="240"/>
      <c r="F4" s="240"/>
      <c r="G4" s="240"/>
      <c r="H4" s="240"/>
      <c r="I4" s="240"/>
      <c r="J4" s="242"/>
      <c r="K4" s="239"/>
      <c r="L4" s="240"/>
      <c r="M4" s="240"/>
      <c r="N4" s="240"/>
      <c r="O4" s="239"/>
      <c r="P4" s="239"/>
      <c r="Q4" s="240"/>
      <c r="R4" s="243"/>
      <c r="S4" s="15"/>
      <c r="T4" s="15"/>
      <c r="U4" s="15"/>
      <c r="V4" s="15"/>
    </row>
    <row r="5" spans="1:22">
      <c r="A5" s="234"/>
      <c r="B5" s="234"/>
      <c r="C5" s="234"/>
      <c r="D5" s="244"/>
      <c r="E5" s="244"/>
      <c r="F5" s="244"/>
      <c r="G5" s="244"/>
      <c r="H5" s="244"/>
      <c r="I5" s="244"/>
      <c r="J5" s="245"/>
      <c r="K5" s="234"/>
      <c r="L5" s="244"/>
      <c r="M5" s="244"/>
      <c r="N5" s="244"/>
      <c r="O5" s="246"/>
      <c r="P5" s="234"/>
      <c r="Q5" s="244"/>
      <c r="R5" s="247"/>
      <c r="S5" s="15"/>
      <c r="T5" s="15"/>
      <c r="U5" s="15"/>
      <c r="V5" s="15"/>
    </row>
    <row r="6" spans="1:22">
      <c r="A6" s="248"/>
      <c r="B6" s="234"/>
      <c r="C6" s="249"/>
      <c r="D6" s="250"/>
      <c r="E6" s="250"/>
      <c r="F6" s="250"/>
      <c r="G6" s="250"/>
      <c r="H6" s="250"/>
      <c r="I6" s="250"/>
      <c r="J6" s="251"/>
      <c r="K6" s="249"/>
      <c r="L6" s="250"/>
      <c r="M6" s="250"/>
      <c r="N6" s="250"/>
      <c r="O6" s="249"/>
      <c r="P6" s="249"/>
      <c r="Q6" s="250"/>
      <c r="R6" s="252"/>
      <c r="S6" s="15"/>
      <c r="T6" s="15"/>
      <c r="U6" s="15"/>
      <c r="V6" s="15"/>
    </row>
    <row r="7" spans="1:22">
      <c r="A7" s="253"/>
      <c r="B7" s="254"/>
      <c r="C7" s="255"/>
      <c r="D7" s="256"/>
      <c r="E7" s="256"/>
      <c r="F7" s="256"/>
      <c r="G7" s="256"/>
      <c r="H7" s="256"/>
      <c r="I7" s="256"/>
      <c r="J7" s="257"/>
      <c r="K7" s="255"/>
      <c r="L7" s="256"/>
      <c r="M7" s="256"/>
      <c r="N7" s="256"/>
      <c r="O7" s="255"/>
      <c r="P7" s="255"/>
      <c r="Q7" s="256"/>
      <c r="R7" s="258"/>
      <c r="S7" s="15"/>
      <c r="T7" s="15"/>
      <c r="U7" s="15"/>
      <c r="V7" s="15"/>
    </row>
    <row r="8" spans="1:22">
      <c r="A8" s="253"/>
      <c r="B8" s="317"/>
      <c r="C8" s="318"/>
      <c r="D8" s="319"/>
      <c r="E8" s="331"/>
      <c r="F8" s="319"/>
      <c r="G8" s="319"/>
      <c r="H8" s="319"/>
      <c r="I8" s="319"/>
      <c r="J8" s="320"/>
      <c r="K8" s="318"/>
      <c r="L8" s="331"/>
      <c r="M8" s="319"/>
      <c r="N8" s="319"/>
      <c r="O8" s="318"/>
      <c r="P8" s="321"/>
      <c r="Q8" s="331"/>
      <c r="R8" s="322"/>
      <c r="S8" s="15"/>
      <c r="T8" s="15"/>
      <c r="U8" s="15"/>
      <c r="V8" s="15"/>
    </row>
    <row r="9" spans="1:22">
      <c r="A9" s="253"/>
      <c r="B9" s="234"/>
      <c r="C9" s="249"/>
      <c r="D9" s="250"/>
      <c r="E9" s="250"/>
      <c r="F9" s="250"/>
      <c r="G9" s="250"/>
      <c r="H9" s="250"/>
      <c r="I9" s="250"/>
      <c r="J9" s="251"/>
      <c r="K9" s="249"/>
      <c r="L9" s="250"/>
      <c r="M9" s="250"/>
      <c r="N9" s="250"/>
      <c r="O9" s="249"/>
      <c r="P9" s="249"/>
      <c r="Q9" s="250"/>
      <c r="R9" s="252"/>
      <c r="S9" s="15"/>
      <c r="T9" s="15"/>
      <c r="U9" s="15"/>
      <c r="V9" s="15"/>
    </row>
    <row r="10" spans="1:22">
      <c r="A10" s="253"/>
      <c r="B10" s="254"/>
      <c r="C10" s="255"/>
      <c r="D10" s="256"/>
      <c r="E10" s="256"/>
      <c r="F10" s="256"/>
      <c r="G10" s="256"/>
      <c r="H10" s="256"/>
      <c r="I10" s="256"/>
      <c r="J10" s="257"/>
      <c r="K10" s="255"/>
      <c r="L10" s="256"/>
      <c r="M10" s="256"/>
      <c r="N10" s="256"/>
      <c r="O10" s="255"/>
      <c r="P10" s="255"/>
      <c r="Q10" s="256"/>
      <c r="R10" s="258"/>
      <c r="S10" s="15"/>
      <c r="T10" s="15"/>
      <c r="U10" s="15"/>
      <c r="V10" s="15"/>
    </row>
    <row r="11" spans="1:22">
      <c r="A11" s="253"/>
      <c r="B11" s="317"/>
      <c r="C11" s="318"/>
      <c r="D11" s="319"/>
      <c r="E11" s="319"/>
      <c r="F11" s="319"/>
      <c r="G11" s="319"/>
      <c r="H11" s="319"/>
      <c r="I11" s="319"/>
      <c r="J11" s="320"/>
      <c r="K11" s="318"/>
      <c r="L11" s="331"/>
      <c r="M11" s="319"/>
      <c r="N11" s="319"/>
      <c r="O11" s="318"/>
      <c r="P11" s="321"/>
      <c r="Q11" s="319"/>
      <c r="R11" s="322"/>
      <c r="S11" s="15"/>
      <c r="T11" s="15"/>
      <c r="U11" s="15"/>
      <c r="V11" s="15"/>
    </row>
    <row r="12" spans="1:22">
      <c r="A12" s="253"/>
      <c r="B12" s="234"/>
      <c r="C12" s="249"/>
      <c r="D12" s="250"/>
      <c r="E12" s="250"/>
      <c r="F12" s="250"/>
      <c r="G12" s="250"/>
      <c r="H12" s="250"/>
      <c r="I12" s="250"/>
      <c r="J12" s="251"/>
      <c r="K12" s="249"/>
      <c r="L12" s="250"/>
      <c r="M12" s="250"/>
      <c r="N12" s="250"/>
      <c r="O12" s="249"/>
      <c r="P12" s="249"/>
      <c r="Q12" s="250"/>
      <c r="R12" s="252"/>
      <c r="S12" s="15"/>
      <c r="T12" s="15"/>
      <c r="U12" s="15"/>
      <c r="V12" s="15"/>
    </row>
    <row r="13" spans="1:22">
      <c r="A13" s="253"/>
      <c r="B13" s="254"/>
      <c r="C13" s="255"/>
      <c r="D13" s="256"/>
      <c r="E13" s="256"/>
      <c r="F13" s="256"/>
      <c r="G13" s="256"/>
      <c r="H13" s="256"/>
      <c r="I13" s="256"/>
      <c r="J13" s="257"/>
      <c r="K13" s="255"/>
      <c r="L13" s="256"/>
      <c r="M13" s="256"/>
      <c r="N13" s="256"/>
      <c r="O13" s="255"/>
      <c r="P13" s="255"/>
      <c r="Q13" s="256"/>
      <c r="R13" s="258"/>
      <c r="S13" s="15"/>
      <c r="T13" s="15"/>
      <c r="U13" s="15"/>
      <c r="V13" s="15"/>
    </row>
    <row r="14" spans="1:22" s="259" customFormat="1">
      <c r="A14" s="253"/>
      <c r="B14" s="317"/>
      <c r="C14" s="318"/>
      <c r="D14" s="319"/>
      <c r="E14" s="331"/>
      <c r="F14" s="319"/>
      <c r="G14" s="319"/>
      <c r="H14" s="319"/>
      <c r="I14" s="319"/>
      <c r="J14" s="320"/>
      <c r="K14" s="318"/>
      <c r="L14" s="319"/>
      <c r="M14" s="319"/>
      <c r="N14" s="319"/>
      <c r="O14" s="318"/>
      <c r="P14" s="321"/>
      <c r="Q14" s="319"/>
      <c r="R14" s="322"/>
      <c r="S14" s="15"/>
      <c r="T14" s="15"/>
      <c r="U14" s="15"/>
      <c r="V14" s="15"/>
    </row>
    <row r="15" spans="1:22">
      <c r="A15" s="253"/>
      <c r="B15" s="234"/>
      <c r="C15" s="249"/>
      <c r="D15" s="250"/>
      <c r="E15" s="250"/>
      <c r="F15" s="250"/>
      <c r="G15" s="250"/>
      <c r="H15" s="250"/>
      <c r="I15" s="250"/>
      <c r="J15" s="251"/>
      <c r="K15" s="249"/>
      <c r="L15" s="250"/>
      <c r="M15" s="250"/>
      <c r="N15" s="250"/>
      <c r="O15" s="249"/>
      <c r="P15" s="249"/>
      <c r="Q15" s="250"/>
      <c r="R15" s="252"/>
      <c r="S15" s="15"/>
      <c r="T15" s="15"/>
      <c r="U15" s="15"/>
      <c r="V15" s="15"/>
    </row>
    <row r="16" spans="1:22">
      <c r="A16" s="253"/>
      <c r="B16" s="254"/>
      <c r="C16" s="255"/>
      <c r="D16" s="256"/>
      <c r="E16" s="256"/>
      <c r="F16" s="256"/>
      <c r="G16" s="256"/>
      <c r="H16" s="256"/>
      <c r="I16" s="256"/>
      <c r="J16" s="257"/>
      <c r="K16" s="255"/>
      <c r="L16" s="256"/>
      <c r="M16" s="256"/>
      <c r="N16" s="256"/>
      <c r="O16" s="255"/>
      <c r="P16" s="255"/>
      <c r="Q16" s="256"/>
      <c r="R16" s="258"/>
      <c r="S16" s="15"/>
      <c r="T16" s="15"/>
      <c r="U16" s="15"/>
      <c r="V16" s="15"/>
    </row>
    <row r="17" spans="1:22">
      <c r="A17" s="253"/>
      <c r="B17" s="317"/>
      <c r="C17" s="318"/>
      <c r="D17" s="319"/>
      <c r="E17" s="319"/>
      <c r="F17" s="319"/>
      <c r="G17" s="319"/>
      <c r="H17" s="319"/>
      <c r="I17" s="319"/>
      <c r="J17" s="320"/>
      <c r="K17" s="318"/>
      <c r="L17" s="319"/>
      <c r="M17" s="319"/>
      <c r="N17" s="319"/>
      <c r="O17" s="318"/>
      <c r="P17" s="321"/>
      <c r="Q17" s="319"/>
      <c r="R17" s="322"/>
      <c r="S17" s="15"/>
      <c r="T17" s="15"/>
      <c r="U17" s="15"/>
      <c r="V17" s="15"/>
    </row>
    <row r="18" spans="1:22">
      <c r="A18" s="253"/>
      <c r="B18" s="234"/>
      <c r="C18" s="249"/>
      <c r="D18" s="250"/>
      <c r="E18" s="250"/>
      <c r="F18" s="250"/>
      <c r="G18" s="250"/>
      <c r="H18" s="250"/>
      <c r="I18" s="250"/>
      <c r="J18" s="251"/>
      <c r="K18" s="249"/>
      <c r="L18" s="250"/>
      <c r="M18" s="250"/>
      <c r="N18" s="250"/>
      <c r="O18" s="249"/>
      <c r="P18" s="249"/>
      <c r="Q18" s="250"/>
      <c r="R18" s="252"/>
      <c r="S18" s="15"/>
      <c r="T18" s="15"/>
      <c r="U18" s="15"/>
      <c r="V18" s="15"/>
    </row>
    <row r="19" spans="1:22">
      <c r="A19" s="253"/>
      <c r="B19" s="254"/>
      <c r="C19" s="255"/>
      <c r="D19" s="256"/>
      <c r="E19" s="256"/>
      <c r="F19" s="256"/>
      <c r="G19" s="256"/>
      <c r="H19" s="256"/>
      <c r="I19" s="256"/>
      <c r="J19" s="257"/>
      <c r="K19" s="255"/>
      <c r="L19" s="256"/>
      <c r="M19" s="256"/>
      <c r="N19" s="256"/>
      <c r="O19" s="255"/>
      <c r="P19" s="255"/>
      <c r="Q19" s="256"/>
      <c r="R19" s="258"/>
      <c r="S19" s="15"/>
      <c r="T19" s="15"/>
      <c r="U19" s="15"/>
      <c r="V19" s="15"/>
    </row>
    <row r="20" spans="1:22">
      <c r="A20" s="253"/>
      <c r="B20" s="317"/>
      <c r="C20" s="318"/>
      <c r="D20" s="319"/>
      <c r="E20" s="319"/>
      <c r="F20" s="319"/>
      <c r="G20" s="319"/>
      <c r="H20" s="319"/>
      <c r="I20" s="319"/>
      <c r="J20" s="320"/>
      <c r="K20" s="318"/>
      <c r="L20" s="319"/>
      <c r="M20" s="319"/>
      <c r="N20" s="319"/>
      <c r="O20" s="318"/>
      <c r="P20" s="321"/>
      <c r="Q20" s="319"/>
      <c r="R20" s="322"/>
      <c r="S20" s="15"/>
      <c r="T20" s="15"/>
      <c r="U20" s="15"/>
      <c r="V20" s="15"/>
    </row>
    <row r="21" spans="1:22">
      <c r="A21" s="253"/>
      <c r="B21" s="234"/>
      <c r="C21" s="249"/>
      <c r="D21" s="250"/>
      <c r="E21" s="250"/>
      <c r="F21" s="250"/>
      <c r="G21" s="250"/>
      <c r="H21" s="250"/>
      <c r="I21" s="250"/>
      <c r="J21" s="251"/>
      <c r="K21" s="249"/>
      <c r="L21" s="250"/>
      <c r="M21" s="250"/>
      <c r="N21" s="250"/>
      <c r="O21" s="249"/>
      <c r="P21" s="249"/>
      <c r="Q21" s="250"/>
      <c r="R21" s="252"/>
      <c r="S21" s="15"/>
      <c r="T21" s="15"/>
      <c r="U21" s="15"/>
      <c r="V21" s="15"/>
    </row>
    <row r="22" spans="1:22">
      <c r="A22" s="253"/>
      <c r="B22" s="254"/>
      <c r="C22" s="255"/>
      <c r="D22" s="256"/>
      <c r="E22" s="256"/>
      <c r="F22" s="256"/>
      <c r="G22" s="256"/>
      <c r="H22" s="256"/>
      <c r="I22" s="256"/>
      <c r="J22" s="257"/>
      <c r="K22" s="255"/>
      <c r="L22" s="256"/>
      <c r="M22" s="256"/>
      <c r="N22" s="256"/>
      <c r="O22" s="255"/>
      <c r="P22" s="255"/>
      <c r="Q22" s="256"/>
      <c r="R22" s="258"/>
      <c r="S22" s="15"/>
      <c r="T22" s="15"/>
      <c r="U22" s="15"/>
      <c r="V22" s="15"/>
    </row>
    <row r="23" spans="1:22">
      <c r="A23" s="253"/>
      <c r="B23" s="317"/>
      <c r="C23" s="318"/>
      <c r="D23" s="319"/>
      <c r="E23" s="319"/>
      <c r="F23" s="319"/>
      <c r="G23" s="319"/>
      <c r="H23" s="319"/>
      <c r="I23" s="319"/>
      <c r="J23" s="320"/>
      <c r="K23" s="318"/>
      <c r="L23" s="319"/>
      <c r="M23" s="319"/>
      <c r="N23" s="319"/>
      <c r="O23" s="318"/>
      <c r="P23" s="321"/>
      <c r="Q23" s="319"/>
      <c r="R23" s="322"/>
      <c r="S23" s="15"/>
      <c r="T23" s="15"/>
      <c r="U23" s="15"/>
      <c r="V23" s="15"/>
    </row>
    <row r="24" spans="1:22">
      <c r="A24" s="253"/>
      <c r="B24" s="234"/>
      <c r="C24" s="249"/>
      <c r="D24" s="250"/>
      <c r="E24" s="250"/>
      <c r="F24" s="250"/>
      <c r="G24" s="250"/>
      <c r="H24" s="250"/>
      <c r="I24" s="250"/>
      <c r="J24" s="251"/>
      <c r="K24" s="249"/>
      <c r="L24" s="250"/>
      <c r="M24" s="250"/>
      <c r="N24" s="250"/>
      <c r="O24" s="249"/>
      <c r="P24" s="249"/>
      <c r="Q24" s="250"/>
      <c r="R24" s="252"/>
      <c r="S24" s="15"/>
      <c r="T24" s="15"/>
      <c r="U24" s="15"/>
      <c r="V24" s="15"/>
    </row>
    <row r="25" spans="1:22">
      <c r="A25" s="253"/>
      <c r="B25" s="254"/>
      <c r="C25" s="255"/>
      <c r="D25" s="256"/>
      <c r="E25" s="256"/>
      <c r="F25" s="256"/>
      <c r="G25" s="256"/>
      <c r="H25" s="256"/>
      <c r="I25" s="256"/>
      <c r="J25" s="257"/>
      <c r="K25" s="255"/>
      <c r="L25" s="256"/>
      <c r="M25" s="256"/>
      <c r="N25" s="256"/>
      <c r="O25" s="255"/>
      <c r="P25" s="255"/>
      <c r="Q25" s="256"/>
      <c r="R25" s="258"/>
      <c r="S25" s="15"/>
      <c r="T25" s="15"/>
      <c r="U25" s="15"/>
      <c r="V25" s="15"/>
    </row>
    <row r="26" spans="1:22">
      <c r="A26" s="253"/>
      <c r="B26" s="317"/>
      <c r="C26" s="318"/>
      <c r="D26" s="319"/>
      <c r="E26" s="331"/>
      <c r="F26" s="331"/>
      <c r="G26" s="319"/>
      <c r="H26" s="319"/>
      <c r="I26" s="319"/>
      <c r="J26" s="320"/>
      <c r="K26" s="318"/>
      <c r="L26" s="319"/>
      <c r="M26" s="319"/>
      <c r="N26" s="319"/>
      <c r="O26" s="318"/>
      <c r="P26" s="321"/>
      <c r="Q26" s="319"/>
      <c r="R26" s="322"/>
      <c r="S26" s="15"/>
      <c r="T26" s="15"/>
      <c r="U26" s="15"/>
      <c r="V26" s="15"/>
    </row>
    <row r="27" spans="1:22">
      <c r="A27" s="253"/>
      <c r="B27" s="234"/>
      <c r="C27" s="249"/>
      <c r="D27" s="250"/>
      <c r="E27" s="250"/>
      <c r="F27" s="250"/>
      <c r="G27" s="250"/>
      <c r="H27" s="250"/>
      <c r="I27" s="250"/>
      <c r="J27" s="251"/>
      <c r="K27" s="249"/>
      <c r="L27" s="250"/>
      <c r="M27" s="250"/>
      <c r="N27" s="250"/>
      <c r="O27" s="249"/>
      <c r="P27" s="249"/>
      <c r="Q27" s="250"/>
      <c r="R27" s="252"/>
      <c r="S27" s="15"/>
      <c r="T27" s="15"/>
      <c r="U27" s="15"/>
      <c r="V27" s="15"/>
    </row>
    <row r="28" spans="1:22">
      <c r="A28" s="253"/>
      <c r="B28" s="254"/>
      <c r="C28" s="255"/>
      <c r="D28" s="256"/>
      <c r="E28" s="256"/>
      <c r="F28" s="256"/>
      <c r="G28" s="256"/>
      <c r="H28" s="256"/>
      <c r="I28" s="256"/>
      <c r="J28" s="257"/>
      <c r="K28" s="255"/>
      <c r="L28" s="256"/>
      <c r="M28" s="256"/>
      <c r="N28" s="256"/>
      <c r="O28" s="255"/>
      <c r="P28" s="255"/>
      <c r="Q28" s="256"/>
      <c r="R28" s="258"/>
      <c r="S28" s="15"/>
      <c r="T28" s="15"/>
      <c r="U28" s="15"/>
      <c r="V28" s="15"/>
    </row>
    <row r="29" spans="1:22">
      <c r="A29" s="253"/>
      <c r="B29" s="317"/>
      <c r="C29" s="318"/>
      <c r="D29" s="319"/>
      <c r="E29" s="319"/>
      <c r="F29" s="331"/>
      <c r="G29" s="319"/>
      <c r="H29" s="319"/>
      <c r="I29" s="319"/>
      <c r="J29" s="320"/>
      <c r="K29" s="318"/>
      <c r="L29" s="319"/>
      <c r="M29" s="319"/>
      <c r="N29" s="319"/>
      <c r="O29" s="318"/>
      <c r="P29" s="321"/>
      <c r="Q29" s="319"/>
      <c r="R29" s="322"/>
      <c r="S29" s="15"/>
      <c r="T29" s="15"/>
      <c r="U29" s="15"/>
      <c r="V29" s="15"/>
    </row>
    <row r="30" spans="1:22">
      <c r="A30" s="253"/>
      <c r="B30" s="234"/>
      <c r="C30" s="249"/>
      <c r="D30" s="250"/>
      <c r="E30" s="250"/>
      <c r="F30" s="250"/>
      <c r="G30" s="250"/>
      <c r="H30" s="250"/>
      <c r="I30" s="250"/>
      <c r="J30" s="251"/>
      <c r="K30" s="249"/>
      <c r="L30" s="250"/>
      <c r="M30" s="250"/>
      <c r="N30" s="250"/>
      <c r="O30" s="249"/>
      <c r="P30" s="249"/>
      <c r="Q30" s="250"/>
      <c r="R30" s="252"/>
      <c r="S30" s="15"/>
      <c r="T30" s="15"/>
      <c r="U30" s="15"/>
      <c r="V30" s="15"/>
    </row>
    <row r="31" spans="1:22">
      <c r="A31" s="253"/>
      <c r="B31" s="254"/>
      <c r="C31" s="255"/>
      <c r="D31" s="256"/>
      <c r="E31" s="256"/>
      <c r="F31" s="256"/>
      <c r="G31" s="256"/>
      <c r="H31" s="256"/>
      <c r="I31" s="256"/>
      <c r="J31" s="257"/>
      <c r="K31" s="255"/>
      <c r="L31" s="256"/>
      <c r="M31" s="256"/>
      <c r="N31" s="256"/>
      <c r="O31" s="255"/>
      <c r="P31" s="255"/>
      <c r="Q31" s="256"/>
      <c r="R31" s="258"/>
      <c r="S31" s="15"/>
      <c r="T31" s="15"/>
      <c r="U31" s="15"/>
      <c r="V31" s="15"/>
    </row>
    <row r="32" spans="1:22">
      <c r="A32" s="253"/>
      <c r="B32" s="317"/>
      <c r="C32" s="318"/>
      <c r="D32" s="319"/>
      <c r="E32" s="331"/>
      <c r="F32" s="331"/>
      <c r="G32" s="319"/>
      <c r="H32" s="319"/>
      <c r="I32" s="319"/>
      <c r="J32" s="320"/>
      <c r="K32" s="318"/>
      <c r="L32" s="319"/>
      <c r="M32" s="319"/>
      <c r="N32" s="319"/>
      <c r="O32" s="318"/>
      <c r="P32" s="321"/>
      <c r="Q32" s="319"/>
      <c r="R32" s="322"/>
      <c r="S32" s="15"/>
      <c r="T32" s="15"/>
      <c r="U32" s="15"/>
      <c r="V32" s="15"/>
    </row>
    <row r="33" spans="1:22">
      <c r="A33" s="253"/>
      <c r="B33" s="234"/>
      <c r="C33" s="249"/>
      <c r="D33" s="250"/>
      <c r="E33" s="250"/>
      <c r="F33" s="250"/>
      <c r="G33" s="250"/>
      <c r="H33" s="250"/>
      <c r="I33" s="250"/>
      <c r="J33" s="251"/>
      <c r="K33" s="249"/>
      <c r="L33" s="250"/>
      <c r="M33" s="250"/>
      <c r="N33" s="250"/>
      <c r="O33" s="249"/>
      <c r="P33" s="249"/>
      <c r="Q33" s="250"/>
      <c r="R33" s="252"/>
      <c r="S33" s="15"/>
      <c r="T33" s="15"/>
      <c r="U33" s="15"/>
      <c r="V33" s="15"/>
    </row>
    <row r="34" spans="1:22">
      <c r="A34" s="253"/>
      <c r="B34" s="254"/>
      <c r="C34" s="255"/>
      <c r="D34" s="256"/>
      <c r="E34" s="256"/>
      <c r="F34" s="256"/>
      <c r="G34" s="256"/>
      <c r="H34" s="256"/>
      <c r="I34" s="256"/>
      <c r="J34" s="257"/>
      <c r="K34" s="255"/>
      <c r="L34" s="256"/>
      <c r="M34" s="256"/>
      <c r="N34" s="256"/>
      <c r="O34" s="255"/>
      <c r="P34" s="255"/>
      <c r="Q34" s="256"/>
      <c r="R34" s="258"/>
      <c r="S34" s="15"/>
      <c r="T34" s="15"/>
      <c r="U34" s="15"/>
      <c r="V34" s="15"/>
    </row>
    <row r="35" spans="1:22">
      <c r="A35" s="253"/>
      <c r="B35" s="317"/>
      <c r="C35" s="318"/>
      <c r="D35" s="319"/>
      <c r="E35" s="319"/>
      <c r="F35" s="319"/>
      <c r="G35" s="319"/>
      <c r="H35" s="319"/>
      <c r="I35" s="319"/>
      <c r="J35" s="320"/>
      <c r="K35" s="318"/>
      <c r="L35" s="319"/>
      <c r="M35" s="319"/>
      <c r="N35" s="319"/>
      <c r="O35" s="318"/>
      <c r="P35" s="321"/>
      <c r="Q35" s="319"/>
      <c r="R35" s="322"/>
      <c r="S35" s="15"/>
      <c r="T35" s="15"/>
      <c r="U35" s="15"/>
      <c r="V35" s="15"/>
    </row>
    <row r="36" spans="1:22">
      <c r="A36" s="253"/>
      <c r="B36" s="234"/>
      <c r="C36" s="249"/>
      <c r="D36" s="250"/>
      <c r="E36" s="250"/>
      <c r="F36" s="250"/>
      <c r="G36" s="250"/>
      <c r="H36" s="250"/>
      <c r="I36" s="250"/>
      <c r="J36" s="251"/>
      <c r="K36" s="249"/>
      <c r="L36" s="250"/>
      <c r="M36" s="250"/>
      <c r="N36" s="250"/>
      <c r="O36" s="249"/>
      <c r="P36" s="249"/>
      <c r="Q36" s="250"/>
      <c r="R36" s="252"/>
      <c r="S36" s="15"/>
      <c r="T36" s="15"/>
      <c r="U36" s="15"/>
      <c r="V36" s="15"/>
    </row>
    <row r="37" spans="1:22">
      <c r="A37" s="253"/>
      <c r="B37" s="254"/>
      <c r="C37" s="255"/>
      <c r="D37" s="256"/>
      <c r="E37" s="256"/>
      <c r="F37" s="256"/>
      <c r="G37" s="256"/>
      <c r="H37" s="256"/>
      <c r="I37" s="256"/>
      <c r="J37" s="257"/>
      <c r="K37" s="255"/>
      <c r="L37" s="256"/>
      <c r="M37" s="256"/>
      <c r="N37" s="256"/>
      <c r="O37" s="255"/>
      <c r="P37" s="255"/>
      <c r="Q37" s="256"/>
      <c r="R37" s="258"/>
      <c r="S37" s="15"/>
      <c r="T37" s="15"/>
      <c r="U37" s="15"/>
      <c r="V37" s="15"/>
    </row>
    <row r="38" spans="1:22">
      <c r="A38" s="253"/>
      <c r="B38" s="317"/>
      <c r="C38" s="318"/>
      <c r="D38" s="319"/>
      <c r="E38" s="319"/>
      <c r="F38" s="319"/>
      <c r="G38" s="319"/>
      <c r="H38" s="319"/>
      <c r="I38" s="319"/>
      <c r="J38" s="320"/>
      <c r="K38" s="318"/>
      <c r="L38" s="319"/>
      <c r="M38" s="319"/>
      <c r="N38" s="319"/>
      <c r="O38" s="318"/>
      <c r="P38" s="321"/>
      <c r="Q38" s="319"/>
      <c r="R38" s="322"/>
      <c r="S38" s="15"/>
      <c r="T38" s="15"/>
      <c r="U38" s="15"/>
      <c r="V38" s="15"/>
    </row>
    <row r="39" spans="1:22">
      <c r="A39" s="253"/>
      <c r="B39" s="234"/>
      <c r="C39" s="249"/>
      <c r="D39" s="250"/>
      <c r="E39" s="250"/>
      <c r="F39" s="250"/>
      <c r="G39" s="250"/>
      <c r="H39" s="250"/>
      <c r="I39" s="250"/>
      <c r="J39" s="251"/>
      <c r="K39" s="249"/>
      <c r="L39" s="250"/>
      <c r="M39" s="250"/>
      <c r="N39" s="250"/>
      <c r="O39" s="249"/>
      <c r="P39" s="249"/>
      <c r="Q39" s="250"/>
      <c r="R39" s="252"/>
      <c r="S39" s="15"/>
      <c r="T39" s="15"/>
      <c r="U39" s="15"/>
      <c r="V39" s="15"/>
    </row>
    <row r="40" spans="1:22">
      <c r="A40" s="253"/>
      <c r="B40" s="254"/>
      <c r="C40" s="255"/>
      <c r="D40" s="256"/>
      <c r="E40" s="256"/>
      <c r="F40" s="256"/>
      <c r="G40" s="256"/>
      <c r="H40" s="256"/>
      <c r="I40" s="256"/>
      <c r="J40" s="257"/>
      <c r="K40" s="255"/>
      <c r="L40" s="256"/>
      <c r="M40" s="256"/>
      <c r="N40" s="256"/>
      <c r="O40" s="255"/>
      <c r="P40" s="255"/>
      <c r="Q40" s="256"/>
      <c r="R40" s="258"/>
      <c r="S40" s="15"/>
      <c r="T40" s="15"/>
      <c r="U40" s="15"/>
      <c r="V40" s="15"/>
    </row>
    <row r="41" spans="1:22">
      <c r="A41" s="260"/>
      <c r="B41" s="317"/>
      <c r="C41" s="318"/>
      <c r="D41" s="319"/>
      <c r="E41" s="319"/>
      <c r="F41" s="319"/>
      <c r="G41" s="319"/>
      <c r="H41" s="319"/>
      <c r="I41" s="319"/>
      <c r="J41" s="320"/>
      <c r="K41" s="318"/>
      <c r="L41" s="319"/>
      <c r="M41" s="319"/>
      <c r="N41" s="319"/>
      <c r="O41" s="318"/>
      <c r="P41" s="321"/>
      <c r="Q41" s="319"/>
      <c r="R41" s="322"/>
      <c r="S41" s="15"/>
      <c r="T41" s="15"/>
      <c r="U41" s="15"/>
      <c r="V41" s="15"/>
    </row>
    <row r="42" spans="1:22">
      <c r="A42" s="248"/>
      <c r="B42" s="234"/>
      <c r="C42" s="249"/>
      <c r="D42" s="250"/>
      <c r="E42" s="250"/>
      <c r="F42" s="250"/>
      <c r="G42" s="250"/>
      <c r="H42" s="250"/>
      <c r="I42" s="250"/>
      <c r="J42" s="251"/>
      <c r="K42" s="249"/>
      <c r="L42" s="250"/>
      <c r="M42" s="250"/>
      <c r="N42" s="250"/>
      <c r="O42" s="249"/>
      <c r="P42" s="249"/>
      <c r="Q42" s="250"/>
      <c r="R42" s="252"/>
      <c r="S42" s="15"/>
      <c r="T42" s="15"/>
      <c r="U42" s="15"/>
      <c r="V42" s="15"/>
    </row>
    <row r="43" spans="1:22">
      <c r="A43" s="253"/>
      <c r="B43" s="254"/>
      <c r="C43" s="255"/>
      <c r="D43" s="256"/>
      <c r="E43" s="256"/>
      <c r="F43" s="256"/>
      <c r="G43" s="256"/>
      <c r="H43" s="256"/>
      <c r="I43" s="256"/>
      <c r="J43" s="257"/>
      <c r="K43" s="255"/>
      <c r="L43" s="256"/>
      <c r="M43" s="256"/>
      <c r="N43" s="256"/>
      <c r="O43" s="255"/>
      <c r="P43" s="255"/>
      <c r="Q43" s="256"/>
      <c r="R43" s="258"/>
      <c r="S43" s="15"/>
      <c r="T43" s="15"/>
      <c r="U43" s="15"/>
      <c r="V43" s="15"/>
    </row>
    <row r="44" spans="1:22">
      <c r="A44" s="253"/>
      <c r="B44" s="317"/>
      <c r="C44" s="318"/>
      <c r="D44" s="319"/>
      <c r="E44" s="319"/>
      <c r="F44" s="319"/>
      <c r="G44" s="319"/>
      <c r="H44" s="319"/>
      <c r="I44" s="319"/>
      <c r="J44" s="320"/>
      <c r="K44" s="318"/>
      <c r="L44" s="319"/>
      <c r="M44" s="319"/>
      <c r="N44" s="319"/>
      <c r="O44" s="318"/>
      <c r="P44" s="321"/>
      <c r="Q44" s="319"/>
      <c r="R44" s="322"/>
      <c r="S44" s="15"/>
      <c r="T44" s="15"/>
      <c r="U44" s="15"/>
      <c r="V44" s="15"/>
    </row>
    <row r="45" spans="1:22">
      <c r="A45" s="253"/>
      <c r="B45" s="234"/>
      <c r="C45" s="249"/>
      <c r="D45" s="250"/>
      <c r="E45" s="250"/>
      <c r="F45" s="250"/>
      <c r="G45" s="250"/>
      <c r="H45" s="250"/>
      <c r="I45" s="250"/>
      <c r="J45" s="251"/>
      <c r="K45" s="249"/>
      <c r="L45" s="250"/>
      <c r="M45" s="250"/>
      <c r="N45" s="250"/>
      <c r="O45" s="249"/>
      <c r="P45" s="249"/>
      <c r="Q45" s="250"/>
      <c r="R45" s="252"/>
      <c r="S45" s="15"/>
      <c r="T45" s="15"/>
      <c r="U45" s="15"/>
      <c r="V45" s="15"/>
    </row>
    <row r="46" spans="1:22">
      <c r="A46" s="253"/>
      <c r="B46" s="254"/>
      <c r="C46" s="255"/>
      <c r="D46" s="256"/>
      <c r="E46" s="256"/>
      <c r="F46" s="256"/>
      <c r="G46" s="256"/>
      <c r="H46" s="256"/>
      <c r="I46" s="256"/>
      <c r="J46" s="257"/>
      <c r="K46" s="255"/>
      <c r="L46" s="256"/>
      <c r="M46" s="256"/>
      <c r="N46" s="256"/>
      <c r="O46" s="255"/>
      <c r="P46" s="255"/>
      <c r="Q46" s="256"/>
      <c r="R46" s="258"/>
      <c r="S46" s="15"/>
      <c r="T46" s="15"/>
      <c r="U46" s="15"/>
      <c r="V46" s="15"/>
    </row>
    <row r="47" spans="1:22">
      <c r="A47" s="253"/>
      <c r="B47" s="317"/>
      <c r="C47" s="318"/>
      <c r="D47" s="319"/>
      <c r="E47" s="319"/>
      <c r="F47" s="319"/>
      <c r="G47" s="319"/>
      <c r="H47" s="319"/>
      <c r="I47" s="319"/>
      <c r="J47" s="320"/>
      <c r="K47" s="318"/>
      <c r="L47" s="319"/>
      <c r="M47" s="319"/>
      <c r="N47" s="319"/>
      <c r="O47" s="318"/>
      <c r="P47" s="321"/>
      <c r="Q47" s="319"/>
      <c r="R47" s="322"/>
      <c r="S47" s="15"/>
      <c r="T47" s="15"/>
      <c r="U47" s="15"/>
      <c r="V47" s="15"/>
    </row>
    <row r="48" spans="1:22">
      <c r="A48" s="253"/>
      <c r="B48" s="234"/>
      <c r="C48" s="249"/>
      <c r="D48" s="250"/>
      <c r="E48" s="250"/>
      <c r="F48" s="250"/>
      <c r="G48" s="250"/>
      <c r="H48" s="250"/>
      <c r="I48" s="250"/>
      <c r="J48" s="251"/>
      <c r="K48" s="249"/>
      <c r="L48" s="250"/>
      <c r="M48" s="250"/>
      <c r="N48" s="250"/>
      <c r="O48" s="249"/>
      <c r="P48" s="249"/>
      <c r="Q48" s="250"/>
      <c r="R48" s="252"/>
      <c r="S48" s="15"/>
      <c r="T48" s="15"/>
      <c r="U48" s="15"/>
      <c r="V48" s="15"/>
    </row>
    <row r="49" spans="1:22">
      <c r="A49" s="253"/>
      <c r="B49" s="254"/>
      <c r="C49" s="255"/>
      <c r="D49" s="256"/>
      <c r="E49" s="256"/>
      <c r="F49" s="256"/>
      <c r="G49" s="256"/>
      <c r="H49" s="256"/>
      <c r="I49" s="256"/>
      <c r="J49" s="257"/>
      <c r="K49" s="255"/>
      <c r="L49" s="256"/>
      <c r="M49" s="256"/>
      <c r="N49" s="256"/>
      <c r="O49" s="255"/>
      <c r="P49" s="255"/>
      <c r="Q49" s="256"/>
      <c r="R49" s="258"/>
      <c r="S49" s="15"/>
      <c r="T49" s="15"/>
      <c r="U49" s="15"/>
      <c r="V49" s="15"/>
    </row>
    <row r="50" spans="1:22">
      <c r="A50" s="253"/>
      <c r="B50" s="317"/>
      <c r="C50" s="318"/>
      <c r="D50" s="319"/>
      <c r="E50" s="319"/>
      <c r="F50" s="319"/>
      <c r="G50" s="319"/>
      <c r="H50" s="319"/>
      <c r="I50" s="319"/>
      <c r="J50" s="320"/>
      <c r="K50" s="318"/>
      <c r="L50" s="319"/>
      <c r="M50" s="319"/>
      <c r="N50" s="319"/>
      <c r="O50" s="318"/>
      <c r="P50" s="321"/>
      <c r="Q50" s="319"/>
      <c r="R50" s="322"/>
      <c r="S50" s="15"/>
      <c r="T50" s="15"/>
      <c r="U50" s="15"/>
      <c r="V50" s="15"/>
    </row>
    <row r="51" spans="1:22">
      <c r="A51" s="253"/>
      <c r="B51" s="234"/>
      <c r="C51" s="249"/>
      <c r="D51" s="250"/>
      <c r="E51" s="250"/>
      <c r="F51" s="250"/>
      <c r="G51" s="250"/>
      <c r="H51" s="250"/>
      <c r="I51" s="250"/>
      <c r="J51" s="251"/>
      <c r="K51" s="249"/>
      <c r="L51" s="250"/>
      <c r="M51" s="250"/>
      <c r="N51" s="250"/>
      <c r="O51" s="249"/>
      <c r="P51" s="249"/>
      <c r="Q51" s="250"/>
      <c r="R51" s="252"/>
      <c r="S51" s="15"/>
      <c r="T51" s="15"/>
      <c r="U51" s="15"/>
      <c r="V51" s="15"/>
    </row>
    <row r="52" spans="1:22">
      <c r="A52" s="253"/>
      <c r="B52" s="254"/>
      <c r="C52" s="255"/>
      <c r="D52" s="256"/>
      <c r="E52" s="256"/>
      <c r="F52" s="256"/>
      <c r="G52" s="256"/>
      <c r="H52" s="256"/>
      <c r="I52" s="256"/>
      <c r="J52" s="257"/>
      <c r="K52" s="255"/>
      <c r="L52" s="256"/>
      <c r="M52" s="256"/>
      <c r="N52" s="256"/>
      <c r="O52" s="255"/>
      <c r="P52" s="255"/>
      <c r="Q52" s="256"/>
      <c r="R52" s="258"/>
      <c r="S52" s="15"/>
      <c r="T52" s="15"/>
      <c r="U52" s="15"/>
      <c r="V52" s="15"/>
    </row>
    <row r="53" spans="1:22">
      <c r="A53" s="253"/>
      <c r="B53" s="317"/>
      <c r="C53" s="318"/>
      <c r="D53" s="319"/>
      <c r="E53" s="319"/>
      <c r="F53" s="319"/>
      <c r="G53" s="319"/>
      <c r="H53" s="319"/>
      <c r="I53" s="319"/>
      <c r="J53" s="320"/>
      <c r="K53" s="318"/>
      <c r="L53" s="319"/>
      <c r="M53" s="319"/>
      <c r="N53" s="319"/>
      <c r="O53" s="318"/>
      <c r="P53" s="321"/>
      <c r="Q53" s="319"/>
      <c r="R53" s="322"/>
      <c r="S53" s="15"/>
      <c r="T53" s="15"/>
      <c r="U53" s="15"/>
      <c r="V53" s="15"/>
    </row>
    <row r="54" spans="1:22">
      <c r="A54" s="253"/>
      <c r="B54" s="234"/>
      <c r="C54" s="249"/>
      <c r="D54" s="250"/>
      <c r="E54" s="250"/>
      <c r="F54" s="250"/>
      <c r="G54" s="250"/>
      <c r="H54" s="250"/>
      <c r="I54" s="250"/>
      <c r="J54" s="251"/>
      <c r="K54" s="249"/>
      <c r="L54" s="250"/>
      <c r="M54" s="250"/>
      <c r="N54" s="250"/>
      <c r="O54" s="249"/>
      <c r="P54" s="249"/>
      <c r="Q54" s="250"/>
      <c r="R54" s="252"/>
      <c r="S54" s="15"/>
      <c r="T54" s="15"/>
      <c r="U54" s="15"/>
      <c r="V54" s="15"/>
    </row>
    <row r="55" spans="1:22">
      <c r="A55" s="253"/>
      <c r="B55" s="254"/>
      <c r="C55" s="255"/>
      <c r="D55" s="256"/>
      <c r="E55" s="256"/>
      <c r="F55" s="256"/>
      <c r="G55" s="256"/>
      <c r="H55" s="256"/>
      <c r="I55" s="256"/>
      <c r="J55" s="257"/>
      <c r="K55" s="255"/>
      <c r="L55" s="256"/>
      <c r="M55" s="256"/>
      <c r="N55" s="256"/>
      <c r="O55" s="255"/>
      <c r="P55" s="255"/>
      <c r="Q55" s="256"/>
      <c r="R55" s="258"/>
      <c r="S55" s="15"/>
      <c r="T55" s="15"/>
      <c r="U55" s="15"/>
      <c r="V55" s="15"/>
    </row>
    <row r="56" spans="1:22">
      <c r="A56" s="253"/>
      <c r="B56" s="317"/>
      <c r="C56" s="318"/>
      <c r="D56" s="319"/>
      <c r="E56" s="319"/>
      <c r="F56" s="319"/>
      <c r="G56" s="319"/>
      <c r="H56" s="319"/>
      <c r="I56" s="319"/>
      <c r="J56" s="320"/>
      <c r="K56" s="318"/>
      <c r="L56" s="319"/>
      <c r="M56" s="319"/>
      <c r="N56" s="319"/>
      <c r="O56" s="318"/>
      <c r="P56" s="321"/>
      <c r="Q56" s="319"/>
      <c r="R56" s="322"/>
      <c r="S56" s="15"/>
      <c r="T56" s="15"/>
      <c r="U56" s="15"/>
      <c r="V56" s="15"/>
    </row>
    <row r="57" spans="1:22">
      <c r="A57" s="253"/>
      <c r="B57" s="234"/>
      <c r="C57" s="249"/>
      <c r="D57" s="250"/>
      <c r="E57" s="250"/>
      <c r="F57" s="250"/>
      <c r="G57" s="250"/>
      <c r="H57" s="250"/>
      <c r="I57" s="250"/>
      <c r="J57" s="251"/>
      <c r="K57" s="249"/>
      <c r="L57" s="250"/>
      <c r="M57" s="250"/>
      <c r="N57" s="250"/>
      <c r="O57" s="249"/>
      <c r="P57" s="249"/>
      <c r="Q57" s="250"/>
      <c r="R57" s="252"/>
      <c r="S57" s="15"/>
      <c r="T57" s="15"/>
      <c r="U57" s="15"/>
      <c r="V57" s="15"/>
    </row>
    <row r="58" spans="1:22">
      <c r="A58" s="253"/>
      <c r="B58" s="254"/>
      <c r="C58" s="255"/>
      <c r="D58" s="256"/>
      <c r="E58" s="256"/>
      <c r="F58" s="256"/>
      <c r="G58" s="256"/>
      <c r="H58" s="256"/>
      <c r="I58" s="256"/>
      <c r="J58" s="257"/>
      <c r="K58" s="255"/>
      <c r="L58" s="256"/>
      <c r="M58" s="256"/>
      <c r="N58" s="256"/>
      <c r="O58" s="255"/>
      <c r="P58" s="255"/>
      <c r="Q58" s="256"/>
      <c r="R58" s="258"/>
      <c r="S58" s="15"/>
      <c r="T58" s="15"/>
      <c r="U58" s="15"/>
      <c r="V58" s="15"/>
    </row>
    <row r="59" spans="1:22">
      <c r="A59" s="253"/>
      <c r="B59" s="317"/>
      <c r="C59" s="318"/>
      <c r="D59" s="319"/>
      <c r="E59" s="319"/>
      <c r="F59" s="319"/>
      <c r="G59" s="319"/>
      <c r="H59" s="319"/>
      <c r="I59" s="319"/>
      <c r="J59" s="320"/>
      <c r="K59" s="318"/>
      <c r="L59" s="319"/>
      <c r="M59" s="319"/>
      <c r="N59" s="319"/>
      <c r="O59" s="318"/>
      <c r="P59" s="321"/>
      <c r="Q59" s="319"/>
      <c r="R59" s="322"/>
      <c r="S59" s="15"/>
      <c r="T59" s="15"/>
      <c r="U59" s="15"/>
      <c r="V59" s="15"/>
    </row>
    <row r="60" spans="1:22">
      <c r="A60" s="253"/>
      <c r="B60" s="234"/>
      <c r="C60" s="249"/>
      <c r="D60" s="250"/>
      <c r="E60" s="250"/>
      <c r="F60" s="250"/>
      <c r="G60" s="250"/>
      <c r="H60" s="250"/>
      <c r="I60" s="250"/>
      <c r="J60" s="251"/>
      <c r="K60" s="249"/>
      <c r="L60" s="250"/>
      <c r="M60" s="250"/>
      <c r="N60" s="250"/>
      <c r="O60" s="249"/>
      <c r="P60" s="249"/>
      <c r="Q60" s="250"/>
      <c r="R60" s="252"/>
      <c r="S60" s="15"/>
      <c r="T60" s="15"/>
      <c r="U60" s="15"/>
      <c r="V60" s="15"/>
    </row>
    <row r="61" spans="1:22">
      <c r="A61" s="253"/>
      <c r="B61" s="254"/>
      <c r="C61" s="255"/>
      <c r="D61" s="256"/>
      <c r="E61" s="256"/>
      <c r="F61" s="256"/>
      <c r="G61" s="256"/>
      <c r="H61" s="256"/>
      <c r="I61" s="256"/>
      <c r="J61" s="257"/>
      <c r="K61" s="255"/>
      <c r="L61" s="256"/>
      <c r="M61" s="256"/>
      <c r="N61" s="256"/>
      <c r="O61" s="255"/>
      <c r="P61" s="255"/>
      <c r="Q61" s="256"/>
      <c r="R61" s="258"/>
      <c r="S61" s="15"/>
      <c r="T61" s="15"/>
      <c r="U61" s="15"/>
      <c r="V61" s="15"/>
    </row>
    <row r="62" spans="1:22">
      <c r="A62" s="253"/>
      <c r="B62" s="317"/>
      <c r="C62" s="318"/>
      <c r="D62" s="319"/>
      <c r="E62" s="319"/>
      <c r="F62" s="319"/>
      <c r="G62" s="319"/>
      <c r="H62" s="331"/>
      <c r="I62" s="319"/>
      <c r="J62" s="320"/>
      <c r="K62" s="318"/>
      <c r="L62" s="319"/>
      <c r="M62" s="319"/>
      <c r="N62" s="319"/>
      <c r="O62" s="318"/>
      <c r="P62" s="321"/>
      <c r="Q62" s="319"/>
      <c r="R62" s="322"/>
      <c r="S62" s="15"/>
      <c r="T62" s="15"/>
      <c r="U62" s="15"/>
      <c r="V62" s="15"/>
    </row>
    <row r="63" spans="1:22">
      <c r="A63" s="253"/>
      <c r="B63" s="234"/>
      <c r="C63" s="249"/>
      <c r="D63" s="250"/>
      <c r="E63" s="250"/>
      <c r="F63" s="250"/>
      <c r="G63" s="250"/>
      <c r="H63" s="250"/>
      <c r="I63" s="250"/>
      <c r="J63" s="251"/>
      <c r="K63" s="249"/>
      <c r="L63" s="250"/>
      <c r="M63" s="250"/>
      <c r="N63" s="250"/>
      <c r="O63" s="249"/>
      <c r="P63" s="249"/>
      <c r="Q63" s="250"/>
      <c r="R63" s="252"/>
      <c r="S63" s="15"/>
      <c r="T63" s="15"/>
      <c r="U63" s="15"/>
      <c r="V63" s="15"/>
    </row>
    <row r="64" spans="1:22">
      <c r="A64" s="253"/>
      <c r="B64" s="254"/>
      <c r="C64" s="255"/>
      <c r="D64" s="256"/>
      <c r="E64" s="256"/>
      <c r="F64" s="256"/>
      <c r="G64" s="256"/>
      <c r="H64" s="256"/>
      <c r="I64" s="256"/>
      <c r="J64" s="257"/>
      <c r="K64" s="255"/>
      <c r="L64" s="256"/>
      <c r="M64" s="256"/>
      <c r="N64" s="256"/>
      <c r="O64" s="255"/>
      <c r="P64" s="255"/>
      <c r="Q64" s="256"/>
      <c r="R64" s="258"/>
      <c r="S64" s="15"/>
      <c r="T64" s="15"/>
      <c r="U64" s="15"/>
      <c r="V64" s="15"/>
    </row>
    <row r="65" spans="1:23">
      <c r="A65" s="253"/>
      <c r="B65" s="317"/>
      <c r="C65" s="318"/>
      <c r="D65" s="319"/>
      <c r="E65" s="319"/>
      <c r="F65" s="319"/>
      <c r="G65" s="319"/>
      <c r="H65" s="319"/>
      <c r="I65" s="319"/>
      <c r="J65" s="320"/>
      <c r="K65" s="318"/>
      <c r="L65" s="319"/>
      <c r="M65" s="319"/>
      <c r="N65" s="319"/>
      <c r="O65" s="318"/>
      <c r="P65" s="321"/>
      <c r="Q65" s="319"/>
      <c r="R65" s="322"/>
      <c r="S65" s="15"/>
      <c r="T65" s="15"/>
      <c r="U65" s="15"/>
      <c r="V65" s="15"/>
    </row>
    <row r="66" spans="1:23">
      <c r="A66" s="253"/>
      <c r="B66" s="234"/>
      <c r="C66" s="249"/>
      <c r="D66" s="250"/>
      <c r="E66" s="250"/>
      <c r="F66" s="250"/>
      <c r="G66" s="250"/>
      <c r="H66" s="622"/>
      <c r="I66" s="250"/>
      <c r="J66" s="251"/>
      <c r="K66" s="249"/>
      <c r="L66" s="250"/>
      <c r="M66" s="250"/>
      <c r="N66" s="250"/>
      <c r="O66" s="249"/>
      <c r="P66" s="249"/>
      <c r="Q66" s="250"/>
      <c r="R66" s="252"/>
      <c r="S66" s="15"/>
      <c r="T66" s="15"/>
      <c r="U66" s="15"/>
      <c r="V66" s="15"/>
    </row>
    <row r="67" spans="1:23">
      <c r="A67" s="253"/>
      <c r="B67" s="254"/>
      <c r="C67" s="255"/>
      <c r="D67" s="256"/>
      <c r="E67" s="256"/>
      <c r="F67" s="256"/>
      <c r="G67" s="256"/>
      <c r="H67" s="256"/>
      <c r="I67" s="256"/>
      <c r="J67" s="257"/>
      <c r="K67" s="255"/>
      <c r="L67" s="256"/>
      <c r="M67" s="256"/>
      <c r="N67" s="256"/>
      <c r="O67" s="255"/>
      <c r="P67" s="255"/>
      <c r="Q67" s="256"/>
      <c r="R67" s="258"/>
      <c r="S67" s="15"/>
      <c r="T67" s="15"/>
      <c r="U67" s="15"/>
      <c r="V67" s="15"/>
    </row>
    <row r="68" spans="1:23">
      <c r="A68" s="253"/>
      <c r="B68" s="317"/>
      <c r="C68" s="318"/>
      <c r="D68" s="319"/>
      <c r="E68" s="319"/>
      <c r="F68" s="319"/>
      <c r="G68" s="319"/>
      <c r="H68" s="593"/>
      <c r="I68" s="319"/>
      <c r="J68" s="320"/>
      <c r="K68" s="318"/>
      <c r="L68" s="319"/>
      <c r="M68" s="319"/>
      <c r="N68" s="319"/>
      <c r="O68" s="318"/>
      <c r="P68" s="321"/>
      <c r="Q68" s="319"/>
      <c r="R68" s="322"/>
      <c r="S68" s="624"/>
      <c r="T68" s="15"/>
      <c r="U68" s="15"/>
      <c r="V68" s="15"/>
    </row>
    <row r="69" spans="1:23">
      <c r="A69" s="253"/>
      <c r="B69" s="234"/>
      <c r="C69" s="249"/>
      <c r="D69" s="250"/>
      <c r="E69" s="250"/>
      <c r="F69" s="250"/>
      <c r="G69" s="250"/>
      <c r="H69" s="250"/>
      <c r="I69" s="250"/>
      <c r="J69" s="251"/>
      <c r="K69" s="249"/>
      <c r="L69" s="250"/>
      <c r="M69" s="250"/>
      <c r="N69" s="250"/>
      <c r="O69" s="249"/>
      <c r="P69" s="249"/>
      <c r="Q69" s="250"/>
      <c r="R69" s="252"/>
      <c r="S69" s="605"/>
      <c r="T69" s="15"/>
      <c r="U69" s="15"/>
      <c r="V69" s="15"/>
    </row>
    <row r="70" spans="1:23">
      <c r="A70" s="253"/>
      <c r="B70" s="254"/>
      <c r="C70" s="255"/>
      <c r="D70" s="256"/>
      <c r="E70" s="256"/>
      <c r="F70" s="256"/>
      <c r="G70" s="256"/>
      <c r="H70" s="256"/>
      <c r="I70" s="256"/>
      <c r="J70" s="257"/>
      <c r="K70" s="255"/>
      <c r="L70" s="256"/>
      <c r="M70" s="256"/>
      <c r="N70" s="256"/>
      <c r="O70" s="255"/>
      <c r="P70" s="255"/>
      <c r="Q70" s="256"/>
      <c r="R70" s="258"/>
      <c r="S70" s="15"/>
      <c r="T70" s="15"/>
      <c r="U70" s="15"/>
      <c r="V70" s="15"/>
    </row>
    <row r="71" spans="1:23">
      <c r="A71" s="253"/>
      <c r="B71" s="317"/>
      <c r="C71" s="318"/>
      <c r="D71" s="319"/>
      <c r="E71" s="319"/>
      <c r="F71" s="319"/>
      <c r="G71" s="319"/>
      <c r="H71" s="331"/>
      <c r="I71" s="319"/>
      <c r="J71" s="320"/>
      <c r="K71" s="318"/>
      <c r="L71" s="319"/>
      <c r="M71" s="319"/>
      <c r="N71" s="319"/>
      <c r="O71" s="318"/>
      <c r="P71" s="321"/>
      <c r="Q71" s="319"/>
      <c r="R71" s="322"/>
      <c r="S71" s="15"/>
      <c r="T71" s="15"/>
      <c r="U71" s="15"/>
      <c r="V71" s="15"/>
    </row>
    <row r="72" spans="1:23">
      <c r="A72" s="253"/>
      <c r="B72" s="234"/>
      <c r="C72" s="249"/>
      <c r="D72" s="250"/>
      <c r="E72" s="250"/>
      <c r="F72" s="250"/>
      <c r="G72" s="250"/>
      <c r="H72" s="250"/>
      <c r="I72" s="250"/>
      <c r="J72" s="251"/>
      <c r="K72" s="249"/>
      <c r="L72" s="250"/>
      <c r="M72" s="250"/>
      <c r="N72" s="250"/>
      <c r="O72" s="249"/>
      <c r="P72" s="249"/>
      <c r="Q72" s="250"/>
      <c r="R72" s="252"/>
      <c r="S72" s="15"/>
      <c r="T72" s="15"/>
      <c r="U72" s="15"/>
      <c r="V72" s="15"/>
    </row>
    <row r="73" spans="1:23">
      <c r="A73" s="253"/>
      <c r="B73" s="254"/>
      <c r="C73" s="255"/>
      <c r="D73" s="256"/>
      <c r="E73" s="256"/>
      <c r="F73" s="256"/>
      <c r="G73" s="256"/>
      <c r="H73" s="256"/>
      <c r="I73" s="256"/>
      <c r="J73" s="257"/>
      <c r="K73" s="255"/>
      <c r="L73" s="256"/>
      <c r="M73" s="256"/>
      <c r="N73" s="256"/>
      <c r="O73" s="255"/>
      <c r="P73" s="255"/>
      <c r="Q73" s="256"/>
      <c r="R73" s="258"/>
      <c r="S73" s="15"/>
      <c r="T73" s="15"/>
      <c r="U73" s="15"/>
      <c r="V73" s="15"/>
    </row>
    <row r="74" spans="1:23">
      <c r="A74" s="253"/>
      <c r="B74" s="317"/>
      <c r="C74" s="318"/>
      <c r="D74" s="319"/>
      <c r="E74" s="319"/>
      <c r="F74" s="319"/>
      <c r="G74" s="319"/>
      <c r="H74" s="319"/>
      <c r="I74" s="319"/>
      <c r="J74" s="320"/>
      <c r="K74" s="318"/>
      <c r="L74" s="319"/>
      <c r="M74" s="319"/>
      <c r="N74" s="319"/>
      <c r="O74" s="318"/>
      <c r="P74" s="321"/>
      <c r="Q74" s="319"/>
      <c r="R74" s="322"/>
      <c r="S74" s="15"/>
      <c r="T74" s="15"/>
      <c r="U74" s="15"/>
      <c r="V74" s="15"/>
    </row>
    <row r="75" spans="1:23">
      <c r="A75" s="253"/>
      <c r="B75" s="234"/>
      <c r="C75" s="249"/>
      <c r="D75" s="250"/>
      <c r="E75" s="250"/>
      <c r="F75" s="250"/>
      <c r="G75" s="250"/>
      <c r="H75" s="250"/>
      <c r="I75" s="250"/>
      <c r="J75" s="251"/>
      <c r="K75" s="249"/>
      <c r="L75" s="250"/>
      <c r="M75" s="250"/>
      <c r="N75" s="250"/>
      <c r="O75" s="249"/>
      <c r="P75" s="249"/>
      <c r="Q75" s="250"/>
      <c r="R75" s="252"/>
      <c r="S75" s="15"/>
      <c r="T75" s="15"/>
      <c r="U75" s="15"/>
      <c r="V75" s="15"/>
    </row>
    <row r="76" spans="1:23">
      <c r="A76" s="253"/>
      <c r="B76" s="254"/>
      <c r="C76" s="255"/>
      <c r="D76" s="256"/>
      <c r="E76" s="256"/>
      <c r="F76" s="256"/>
      <c r="G76" s="256"/>
      <c r="H76" s="256"/>
      <c r="I76" s="256"/>
      <c r="J76" s="257"/>
      <c r="K76" s="255"/>
      <c r="L76" s="256"/>
      <c r="M76" s="256"/>
      <c r="N76" s="256"/>
      <c r="O76" s="255"/>
      <c r="P76" s="255"/>
      <c r="Q76" s="256"/>
      <c r="R76" s="258"/>
      <c r="S76" s="15"/>
      <c r="T76" s="15"/>
      <c r="U76" s="15"/>
      <c r="V76" s="15"/>
      <c r="W76" s="623"/>
    </row>
    <row r="77" spans="1:23">
      <c r="A77" s="260"/>
      <c r="B77" s="317"/>
      <c r="C77" s="318"/>
      <c r="D77" s="319"/>
      <c r="E77" s="319"/>
      <c r="F77" s="319"/>
      <c r="G77" s="319"/>
      <c r="H77" s="319"/>
      <c r="I77" s="319"/>
      <c r="J77" s="320"/>
      <c r="K77" s="318"/>
      <c r="L77" s="319"/>
      <c r="M77" s="319"/>
      <c r="N77" s="319"/>
      <c r="O77" s="318"/>
      <c r="P77" s="321"/>
      <c r="Q77" s="319"/>
      <c r="R77" s="322"/>
      <c r="S77" s="15"/>
      <c r="T77" s="15"/>
      <c r="U77" s="15"/>
      <c r="V77" s="15"/>
    </row>
    <row r="78" spans="1:23">
      <c r="A78" s="248"/>
      <c r="B78" s="234"/>
      <c r="C78" s="249"/>
      <c r="D78" s="250"/>
      <c r="E78" s="250"/>
      <c r="F78" s="250"/>
      <c r="G78" s="250"/>
      <c r="H78" s="250"/>
      <c r="I78" s="250"/>
      <c r="J78" s="251"/>
      <c r="K78" s="249"/>
      <c r="L78" s="250"/>
      <c r="M78" s="250"/>
      <c r="N78" s="250"/>
      <c r="O78" s="249"/>
      <c r="P78" s="249"/>
      <c r="Q78" s="250"/>
      <c r="R78" s="252"/>
      <c r="S78" s="15"/>
      <c r="T78" s="15"/>
      <c r="U78" s="15"/>
      <c r="V78" s="15"/>
    </row>
    <row r="79" spans="1:23">
      <c r="A79" s="253"/>
      <c r="B79" s="254"/>
      <c r="C79" s="255"/>
      <c r="D79" s="256"/>
      <c r="E79" s="256"/>
      <c r="F79" s="256"/>
      <c r="G79" s="256"/>
      <c r="H79" s="256"/>
      <c r="I79" s="256"/>
      <c r="J79" s="257"/>
      <c r="K79" s="255"/>
      <c r="L79" s="256"/>
      <c r="M79" s="256"/>
      <c r="N79" s="256"/>
      <c r="O79" s="255"/>
      <c r="P79" s="255"/>
      <c r="Q79" s="256"/>
      <c r="R79" s="258"/>
      <c r="S79" s="15"/>
      <c r="T79" s="15"/>
      <c r="U79" s="15"/>
      <c r="V79" s="15"/>
    </row>
    <row r="80" spans="1:23">
      <c r="A80" s="253"/>
      <c r="B80" s="317"/>
      <c r="C80" s="318"/>
      <c r="D80" s="319"/>
      <c r="E80" s="319"/>
      <c r="F80" s="319"/>
      <c r="G80" s="319"/>
      <c r="H80" s="319"/>
      <c r="I80" s="319"/>
      <c r="J80" s="320"/>
      <c r="K80" s="318"/>
      <c r="L80" s="319"/>
      <c r="M80" s="319"/>
      <c r="N80" s="319"/>
      <c r="O80" s="318"/>
      <c r="P80" s="321"/>
      <c r="Q80" s="319"/>
      <c r="R80" s="322"/>
      <c r="S80" s="15"/>
      <c r="T80" s="15"/>
      <c r="U80" s="15"/>
      <c r="V80" s="15"/>
    </row>
    <row r="81" spans="1:22">
      <c r="A81" s="253"/>
      <c r="B81" s="234"/>
      <c r="C81" s="249"/>
      <c r="D81" s="250"/>
      <c r="E81" s="250"/>
      <c r="F81" s="250"/>
      <c r="G81" s="250"/>
      <c r="H81" s="250"/>
      <c r="I81" s="250"/>
      <c r="J81" s="251"/>
      <c r="K81" s="249"/>
      <c r="L81" s="250"/>
      <c r="M81" s="250"/>
      <c r="N81" s="250"/>
      <c r="O81" s="249"/>
      <c r="P81" s="249"/>
      <c r="Q81" s="250"/>
      <c r="R81" s="252"/>
      <c r="S81" s="15"/>
      <c r="T81" s="15"/>
      <c r="U81" s="15"/>
      <c r="V81" s="15"/>
    </row>
    <row r="82" spans="1:22">
      <c r="A82" s="253"/>
      <c r="B82" s="254"/>
      <c r="C82" s="255"/>
      <c r="D82" s="256"/>
      <c r="E82" s="256"/>
      <c r="F82" s="256"/>
      <c r="G82" s="256"/>
      <c r="H82" s="256"/>
      <c r="I82" s="256"/>
      <c r="J82" s="257"/>
      <c r="K82" s="255"/>
      <c r="L82" s="256"/>
      <c r="M82" s="256"/>
      <c r="N82" s="256"/>
      <c r="O82" s="255"/>
      <c r="P82" s="255"/>
      <c r="Q82" s="256"/>
      <c r="R82" s="258"/>
      <c r="S82" s="15"/>
      <c r="T82" s="15"/>
      <c r="U82" s="15"/>
      <c r="V82" s="15"/>
    </row>
    <row r="83" spans="1:22">
      <c r="A83" s="253"/>
      <c r="B83" s="317"/>
      <c r="C83" s="318"/>
      <c r="D83" s="319"/>
      <c r="E83" s="319"/>
      <c r="F83" s="319"/>
      <c r="G83" s="319"/>
      <c r="H83" s="319"/>
      <c r="I83" s="319"/>
      <c r="J83" s="320"/>
      <c r="K83" s="318"/>
      <c r="L83" s="319"/>
      <c r="M83" s="319"/>
      <c r="N83" s="319"/>
      <c r="O83" s="318"/>
      <c r="P83" s="321"/>
      <c r="Q83" s="319"/>
      <c r="R83" s="322"/>
      <c r="S83" s="15"/>
      <c r="T83" s="15"/>
      <c r="U83" s="15"/>
      <c r="V83" s="15"/>
    </row>
    <row r="84" spans="1:22">
      <c r="A84" s="253"/>
      <c r="B84" s="234"/>
      <c r="C84" s="249"/>
      <c r="D84" s="250"/>
      <c r="E84" s="250"/>
      <c r="F84" s="250"/>
      <c r="G84" s="250"/>
      <c r="H84" s="250"/>
      <c r="I84" s="250"/>
      <c r="J84" s="251"/>
      <c r="K84" s="249"/>
      <c r="L84" s="250"/>
      <c r="M84" s="250"/>
      <c r="N84" s="250"/>
      <c r="O84" s="249"/>
      <c r="P84" s="249"/>
      <c r="Q84" s="250"/>
      <c r="R84" s="252"/>
      <c r="S84" s="15"/>
      <c r="T84" s="15"/>
      <c r="U84" s="15"/>
      <c r="V84" s="15"/>
    </row>
    <row r="85" spans="1:22">
      <c r="A85" s="253"/>
      <c r="B85" s="254"/>
      <c r="C85" s="255"/>
      <c r="D85" s="256"/>
      <c r="E85" s="256"/>
      <c r="F85" s="256"/>
      <c r="G85" s="256"/>
      <c r="H85" s="256"/>
      <c r="I85" s="256"/>
      <c r="J85" s="257"/>
      <c r="K85" s="255"/>
      <c r="L85" s="256"/>
      <c r="M85" s="256"/>
      <c r="N85" s="256"/>
      <c r="O85" s="255"/>
      <c r="P85" s="255"/>
      <c r="Q85" s="256"/>
      <c r="R85" s="258"/>
      <c r="S85" s="15"/>
      <c r="T85" s="15"/>
      <c r="U85" s="15"/>
      <c r="V85" s="15"/>
    </row>
    <row r="86" spans="1:22">
      <c r="A86" s="253"/>
      <c r="B86" s="317"/>
      <c r="C86" s="318"/>
      <c r="D86" s="319"/>
      <c r="E86" s="319"/>
      <c r="F86" s="319"/>
      <c r="G86" s="319"/>
      <c r="H86" s="319"/>
      <c r="I86" s="319"/>
      <c r="J86" s="320"/>
      <c r="K86" s="318"/>
      <c r="L86" s="319"/>
      <c r="M86" s="319"/>
      <c r="N86" s="319"/>
      <c r="O86" s="318"/>
      <c r="P86" s="321"/>
      <c r="Q86" s="319"/>
      <c r="R86" s="322"/>
      <c r="S86" s="15"/>
      <c r="T86" s="15"/>
      <c r="U86" s="15"/>
      <c r="V86" s="15"/>
    </row>
    <row r="87" spans="1:22">
      <c r="A87" s="253"/>
      <c r="B87" s="234"/>
      <c r="C87" s="249"/>
      <c r="D87" s="250"/>
      <c r="E87" s="250"/>
      <c r="F87" s="250"/>
      <c r="G87" s="250"/>
      <c r="H87" s="250"/>
      <c r="I87" s="250"/>
      <c r="J87" s="251"/>
      <c r="K87" s="249"/>
      <c r="L87" s="250"/>
      <c r="M87" s="250"/>
      <c r="N87" s="250"/>
      <c r="O87" s="249"/>
      <c r="P87" s="249"/>
      <c r="Q87" s="250"/>
      <c r="R87" s="252"/>
      <c r="S87" s="15"/>
      <c r="T87" s="15"/>
      <c r="U87" s="15"/>
      <c r="V87" s="15"/>
    </row>
    <row r="88" spans="1:22">
      <c r="A88" s="253"/>
      <c r="B88" s="254"/>
      <c r="C88" s="255"/>
      <c r="D88" s="256"/>
      <c r="E88" s="256"/>
      <c r="F88" s="256"/>
      <c r="G88" s="256"/>
      <c r="H88" s="256"/>
      <c r="I88" s="256"/>
      <c r="J88" s="257"/>
      <c r="K88" s="255"/>
      <c r="L88" s="256"/>
      <c r="M88" s="256"/>
      <c r="N88" s="256"/>
      <c r="O88" s="255"/>
      <c r="P88" s="255"/>
      <c r="Q88" s="256"/>
      <c r="R88" s="258"/>
      <c r="S88" s="15"/>
      <c r="T88" s="15"/>
      <c r="U88" s="15"/>
      <c r="V88" s="15"/>
    </row>
    <row r="89" spans="1:22">
      <c r="A89" s="253"/>
      <c r="B89" s="317"/>
      <c r="C89" s="318"/>
      <c r="D89" s="319"/>
      <c r="E89" s="319"/>
      <c r="F89" s="319"/>
      <c r="G89" s="319"/>
      <c r="H89" s="319"/>
      <c r="I89" s="319"/>
      <c r="J89" s="320"/>
      <c r="K89" s="318"/>
      <c r="L89" s="319"/>
      <c r="M89" s="319"/>
      <c r="N89" s="319"/>
      <c r="O89" s="318"/>
      <c r="P89" s="321"/>
      <c r="Q89" s="319"/>
      <c r="R89" s="322"/>
      <c r="S89" s="15"/>
      <c r="T89" s="15"/>
      <c r="U89" s="15"/>
      <c r="V89" s="15"/>
    </row>
    <row r="90" spans="1:22">
      <c r="A90" s="253"/>
      <c r="B90" s="234"/>
      <c r="C90" s="249"/>
      <c r="D90" s="250"/>
      <c r="E90" s="250"/>
      <c r="F90" s="250"/>
      <c r="G90" s="250"/>
      <c r="H90" s="250"/>
      <c r="I90" s="250"/>
      <c r="J90" s="251"/>
      <c r="K90" s="249"/>
      <c r="L90" s="250"/>
      <c r="M90" s="250"/>
      <c r="N90" s="250"/>
      <c r="O90" s="249"/>
      <c r="P90" s="249"/>
      <c r="Q90" s="250"/>
      <c r="R90" s="252"/>
      <c r="S90" s="15"/>
      <c r="T90" s="15"/>
      <c r="U90" s="15"/>
      <c r="V90" s="15"/>
    </row>
    <row r="91" spans="1:22">
      <c r="A91" s="253"/>
      <c r="B91" s="254"/>
      <c r="C91" s="255"/>
      <c r="D91" s="256"/>
      <c r="E91" s="256"/>
      <c r="F91" s="256"/>
      <c r="G91" s="256"/>
      <c r="H91" s="256"/>
      <c r="I91" s="256"/>
      <c r="J91" s="257"/>
      <c r="K91" s="255"/>
      <c r="L91" s="256"/>
      <c r="M91" s="256"/>
      <c r="N91" s="256"/>
      <c r="O91" s="255"/>
      <c r="P91" s="255"/>
      <c r="Q91" s="256"/>
      <c r="R91" s="258"/>
      <c r="S91" s="15"/>
      <c r="T91" s="15"/>
      <c r="U91" s="15"/>
      <c r="V91" s="15"/>
    </row>
    <row r="92" spans="1:22">
      <c r="A92" s="253"/>
      <c r="B92" s="317"/>
      <c r="C92" s="318"/>
      <c r="D92" s="319"/>
      <c r="E92" s="319"/>
      <c r="F92" s="319"/>
      <c r="G92" s="319"/>
      <c r="H92" s="319"/>
      <c r="I92" s="319"/>
      <c r="J92" s="320"/>
      <c r="K92" s="318"/>
      <c r="L92" s="319"/>
      <c r="M92" s="319"/>
      <c r="N92" s="319"/>
      <c r="O92" s="318"/>
      <c r="P92" s="321"/>
      <c r="Q92" s="319"/>
      <c r="R92" s="322"/>
      <c r="S92" s="15"/>
      <c r="T92" s="15"/>
      <c r="U92" s="15"/>
      <c r="V92" s="15"/>
    </row>
    <row r="93" spans="1:22">
      <c r="A93" s="253"/>
      <c r="B93" s="234"/>
      <c r="C93" s="249"/>
      <c r="D93" s="250"/>
      <c r="E93" s="250"/>
      <c r="F93" s="250"/>
      <c r="G93" s="250"/>
      <c r="H93" s="250"/>
      <c r="I93" s="250"/>
      <c r="J93" s="251"/>
      <c r="K93" s="249"/>
      <c r="L93" s="250"/>
      <c r="M93" s="250"/>
      <c r="N93" s="250"/>
      <c r="O93" s="249"/>
      <c r="P93" s="249"/>
      <c r="Q93" s="250"/>
      <c r="R93" s="252"/>
      <c r="S93" s="15"/>
      <c r="T93" s="15"/>
      <c r="U93" s="15"/>
      <c r="V93" s="15"/>
    </row>
    <row r="94" spans="1:22">
      <c r="A94" s="253"/>
      <c r="B94" s="254"/>
      <c r="C94" s="255"/>
      <c r="D94" s="256"/>
      <c r="E94" s="256"/>
      <c r="F94" s="256"/>
      <c r="G94" s="256"/>
      <c r="H94" s="256"/>
      <c r="I94" s="256"/>
      <c r="J94" s="257"/>
      <c r="K94" s="255"/>
      <c r="L94" s="256"/>
      <c r="M94" s="256"/>
      <c r="N94" s="256"/>
      <c r="O94" s="255"/>
      <c r="P94" s="255"/>
      <c r="Q94" s="256"/>
      <c r="R94" s="258"/>
      <c r="S94" s="15"/>
      <c r="T94" s="15"/>
      <c r="U94" s="15"/>
      <c r="V94" s="15"/>
    </row>
    <row r="95" spans="1:22">
      <c r="A95" s="253"/>
      <c r="B95" s="317"/>
      <c r="C95" s="318"/>
      <c r="D95" s="319"/>
      <c r="E95" s="319"/>
      <c r="F95" s="319"/>
      <c r="G95" s="319"/>
      <c r="H95" s="319"/>
      <c r="I95" s="319"/>
      <c r="J95" s="320"/>
      <c r="K95" s="318"/>
      <c r="L95" s="319"/>
      <c r="M95" s="319"/>
      <c r="N95" s="319"/>
      <c r="O95" s="318"/>
      <c r="P95" s="321"/>
      <c r="Q95" s="319"/>
      <c r="R95" s="322"/>
      <c r="S95" s="15"/>
      <c r="T95" s="15"/>
      <c r="U95" s="15"/>
      <c r="V95" s="15"/>
    </row>
    <row r="96" spans="1:22">
      <c r="A96" s="253"/>
      <c r="B96" s="234"/>
      <c r="C96" s="249"/>
      <c r="D96" s="250"/>
      <c r="E96" s="250"/>
      <c r="F96" s="250"/>
      <c r="G96" s="250"/>
      <c r="H96" s="250"/>
      <c r="I96" s="250"/>
      <c r="J96" s="251"/>
      <c r="K96" s="249"/>
      <c r="L96" s="250"/>
      <c r="M96" s="250"/>
      <c r="N96" s="250"/>
      <c r="O96" s="249"/>
      <c r="P96" s="249"/>
      <c r="Q96" s="250"/>
      <c r="R96" s="252"/>
      <c r="S96" s="15"/>
      <c r="T96" s="15"/>
      <c r="U96" s="15"/>
      <c r="V96" s="15"/>
    </row>
    <row r="97" spans="1:22">
      <c r="A97" s="253"/>
      <c r="B97" s="254"/>
      <c r="C97" s="255"/>
      <c r="D97" s="256"/>
      <c r="E97" s="256"/>
      <c r="F97" s="256"/>
      <c r="G97" s="256"/>
      <c r="H97" s="256"/>
      <c r="I97" s="256"/>
      <c r="J97" s="257"/>
      <c r="K97" s="255"/>
      <c r="L97" s="256"/>
      <c r="M97" s="256"/>
      <c r="N97" s="256"/>
      <c r="O97" s="255"/>
      <c r="P97" s="255"/>
      <c r="Q97" s="256"/>
      <c r="R97" s="258"/>
      <c r="S97" s="15"/>
      <c r="T97" s="15"/>
      <c r="U97" s="15"/>
      <c r="V97" s="15"/>
    </row>
    <row r="98" spans="1:22">
      <c r="A98" s="253"/>
      <c r="B98" s="317"/>
      <c r="C98" s="318"/>
      <c r="D98" s="319"/>
      <c r="E98" s="319"/>
      <c r="F98" s="319"/>
      <c r="G98" s="319"/>
      <c r="H98" s="319"/>
      <c r="I98" s="319"/>
      <c r="J98" s="320"/>
      <c r="K98" s="318"/>
      <c r="L98" s="319"/>
      <c r="M98" s="319"/>
      <c r="N98" s="319"/>
      <c r="O98" s="318"/>
      <c r="P98" s="321"/>
      <c r="Q98" s="319"/>
      <c r="R98" s="322"/>
      <c r="S98" s="15"/>
      <c r="T98" s="15"/>
      <c r="U98" s="15"/>
      <c r="V98" s="15"/>
    </row>
    <row r="99" spans="1:22">
      <c r="A99" s="253"/>
      <c r="B99" s="234"/>
      <c r="C99" s="249"/>
      <c r="D99" s="250"/>
      <c r="E99" s="250"/>
      <c r="F99" s="250"/>
      <c r="G99" s="250"/>
      <c r="H99" s="250"/>
      <c r="I99" s="250"/>
      <c r="J99" s="251"/>
      <c r="K99" s="249"/>
      <c r="L99" s="250"/>
      <c r="M99" s="250"/>
      <c r="N99" s="250"/>
      <c r="O99" s="249"/>
      <c r="P99" s="249"/>
      <c r="Q99" s="250"/>
      <c r="R99" s="252"/>
      <c r="S99" s="15"/>
      <c r="T99" s="15"/>
      <c r="U99" s="15"/>
      <c r="V99" s="15"/>
    </row>
    <row r="100" spans="1:22">
      <c r="A100" s="253"/>
      <c r="B100" s="254"/>
      <c r="C100" s="255"/>
      <c r="D100" s="256"/>
      <c r="E100" s="256"/>
      <c r="F100" s="256"/>
      <c r="G100" s="256"/>
      <c r="H100" s="256"/>
      <c r="I100" s="256"/>
      <c r="J100" s="257"/>
      <c r="K100" s="255"/>
      <c r="L100" s="256"/>
      <c r="M100" s="256"/>
      <c r="N100" s="256"/>
      <c r="O100" s="255"/>
      <c r="P100" s="255"/>
      <c r="Q100" s="256"/>
      <c r="R100" s="258"/>
      <c r="S100" s="15"/>
      <c r="T100" s="15"/>
      <c r="U100" s="15"/>
      <c r="V100" s="15"/>
    </row>
    <row r="101" spans="1:22">
      <c r="A101" s="253"/>
      <c r="B101" s="317"/>
      <c r="C101" s="318"/>
      <c r="D101" s="319"/>
      <c r="E101" s="319"/>
      <c r="F101" s="319"/>
      <c r="G101" s="319"/>
      <c r="H101" s="319"/>
      <c r="I101" s="319"/>
      <c r="J101" s="320"/>
      <c r="K101" s="318"/>
      <c r="L101" s="319"/>
      <c r="M101" s="319"/>
      <c r="N101" s="319"/>
      <c r="O101" s="318"/>
      <c r="P101" s="321"/>
      <c r="Q101" s="319"/>
      <c r="R101" s="322"/>
      <c r="S101" s="15"/>
      <c r="T101" s="15"/>
      <c r="U101" s="15"/>
      <c r="V101" s="15"/>
    </row>
    <row r="102" spans="1:22">
      <c r="A102" s="253"/>
      <c r="B102" s="234"/>
      <c r="C102" s="249"/>
      <c r="D102" s="250"/>
      <c r="E102" s="250"/>
      <c r="F102" s="250"/>
      <c r="G102" s="250"/>
      <c r="H102" s="250"/>
      <c r="I102" s="250"/>
      <c r="J102" s="251"/>
      <c r="K102" s="249"/>
      <c r="L102" s="250"/>
      <c r="M102" s="250"/>
      <c r="N102" s="250"/>
      <c r="O102" s="249"/>
      <c r="P102" s="249"/>
      <c r="Q102" s="250"/>
      <c r="R102" s="252"/>
      <c r="S102" s="15"/>
      <c r="T102" s="15"/>
      <c r="U102" s="15"/>
      <c r="V102" s="15"/>
    </row>
    <row r="103" spans="1:22">
      <c r="A103" s="253"/>
      <c r="B103" s="254"/>
      <c r="C103" s="255"/>
      <c r="D103" s="256"/>
      <c r="E103" s="256"/>
      <c r="F103" s="256"/>
      <c r="G103" s="256"/>
      <c r="H103" s="256"/>
      <c r="I103" s="256"/>
      <c r="J103" s="257"/>
      <c r="K103" s="255"/>
      <c r="L103" s="256"/>
      <c r="M103" s="256"/>
      <c r="N103" s="256"/>
      <c r="O103" s="255"/>
      <c r="P103" s="255"/>
      <c r="Q103" s="256"/>
      <c r="R103" s="258"/>
      <c r="S103" s="15"/>
      <c r="T103" s="15"/>
      <c r="U103" s="15"/>
      <c r="V103" s="15"/>
    </row>
    <row r="104" spans="1:22">
      <c r="A104" s="253"/>
      <c r="B104" s="317"/>
      <c r="C104" s="318"/>
      <c r="D104" s="319"/>
      <c r="E104" s="319"/>
      <c r="F104" s="319"/>
      <c r="G104" s="319"/>
      <c r="H104" s="319"/>
      <c r="I104" s="319"/>
      <c r="J104" s="320"/>
      <c r="K104" s="318"/>
      <c r="L104" s="319"/>
      <c r="M104" s="319"/>
      <c r="N104" s="319"/>
      <c r="O104" s="318"/>
      <c r="P104" s="321"/>
      <c r="Q104" s="319"/>
      <c r="R104" s="322"/>
      <c r="S104" s="605"/>
      <c r="T104" s="15"/>
      <c r="U104" s="15"/>
      <c r="V104" s="15"/>
    </row>
    <row r="105" spans="1:22">
      <c r="A105" s="253"/>
      <c r="B105" s="234"/>
      <c r="C105" s="249"/>
      <c r="D105" s="250"/>
      <c r="E105" s="250"/>
      <c r="F105" s="250"/>
      <c r="G105" s="250"/>
      <c r="H105" s="250"/>
      <c r="I105" s="250"/>
      <c r="J105" s="251"/>
      <c r="K105" s="249"/>
      <c r="L105" s="250"/>
      <c r="M105" s="250"/>
      <c r="N105" s="250"/>
      <c r="O105" s="249"/>
      <c r="P105" s="249"/>
      <c r="Q105" s="250"/>
      <c r="R105" s="252"/>
      <c r="S105" s="15"/>
      <c r="T105" s="15"/>
      <c r="U105" s="15"/>
      <c r="V105" s="15"/>
    </row>
    <row r="106" spans="1:22">
      <c r="A106" s="253"/>
      <c r="B106" s="254"/>
      <c r="C106" s="255"/>
      <c r="D106" s="256"/>
      <c r="E106" s="256"/>
      <c r="F106" s="256"/>
      <c r="G106" s="256"/>
      <c r="H106" s="256"/>
      <c r="I106" s="256"/>
      <c r="J106" s="257"/>
      <c r="K106" s="255"/>
      <c r="L106" s="256"/>
      <c r="M106" s="256"/>
      <c r="N106" s="256"/>
      <c r="O106" s="255"/>
      <c r="P106" s="255"/>
      <c r="Q106" s="256"/>
      <c r="R106" s="258"/>
      <c r="S106" s="15"/>
      <c r="T106" s="15"/>
      <c r="U106" s="15"/>
      <c r="V106" s="15"/>
    </row>
    <row r="107" spans="1:22">
      <c r="A107" s="253"/>
      <c r="B107" s="317"/>
      <c r="C107" s="318"/>
      <c r="D107" s="319"/>
      <c r="E107" s="319"/>
      <c r="F107" s="319"/>
      <c r="G107" s="319"/>
      <c r="H107" s="319"/>
      <c r="I107" s="319"/>
      <c r="J107" s="320"/>
      <c r="K107" s="318"/>
      <c r="L107" s="319"/>
      <c r="M107" s="319"/>
      <c r="N107" s="319"/>
      <c r="O107" s="318"/>
      <c r="P107" s="321"/>
      <c r="Q107" s="319"/>
      <c r="R107" s="322"/>
      <c r="S107" s="15"/>
      <c r="T107" s="15"/>
      <c r="U107" s="15"/>
      <c r="V107" s="15"/>
    </row>
    <row r="108" spans="1:22">
      <c r="A108" s="253"/>
      <c r="B108" s="234"/>
      <c r="C108" s="249"/>
      <c r="D108" s="250"/>
      <c r="E108" s="250"/>
      <c r="F108" s="250"/>
      <c r="G108" s="250"/>
      <c r="H108" s="250"/>
      <c r="I108" s="250"/>
      <c r="J108" s="251"/>
      <c r="K108" s="249"/>
      <c r="L108" s="250"/>
      <c r="M108" s="250"/>
      <c r="N108" s="250"/>
      <c r="O108" s="249"/>
      <c r="P108" s="249"/>
      <c r="Q108" s="250"/>
      <c r="R108" s="252"/>
      <c r="S108" s="15"/>
      <c r="T108" s="15"/>
      <c r="U108" s="15"/>
      <c r="V108" s="15"/>
    </row>
    <row r="109" spans="1:22">
      <c r="A109" s="253"/>
      <c r="B109" s="254"/>
      <c r="C109" s="255"/>
      <c r="D109" s="256"/>
      <c r="E109" s="256"/>
      <c r="F109" s="256"/>
      <c r="G109" s="256"/>
      <c r="H109" s="256"/>
      <c r="I109" s="256"/>
      <c r="J109" s="257"/>
      <c r="K109" s="255"/>
      <c r="L109" s="256"/>
      <c r="M109" s="256"/>
      <c r="N109" s="256"/>
      <c r="O109" s="255"/>
      <c r="P109" s="255"/>
      <c r="Q109" s="256"/>
      <c r="R109" s="258"/>
      <c r="S109" s="15"/>
      <c r="T109" s="15"/>
      <c r="U109" s="15"/>
      <c r="V109" s="15"/>
    </row>
    <row r="110" spans="1:22">
      <c r="A110" s="253"/>
      <c r="B110" s="317"/>
      <c r="C110" s="318"/>
      <c r="D110" s="319"/>
      <c r="E110" s="319"/>
      <c r="F110" s="319"/>
      <c r="G110" s="319"/>
      <c r="H110" s="319"/>
      <c r="I110" s="319"/>
      <c r="J110" s="320"/>
      <c r="K110" s="318"/>
      <c r="L110" s="319"/>
      <c r="M110" s="319"/>
      <c r="N110" s="319"/>
      <c r="O110" s="318"/>
      <c r="P110" s="321"/>
      <c r="Q110" s="319"/>
      <c r="R110" s="322"/>
      <c r="S110" s="15"/>
      <c r="T110" s="15"/>
      <c r="U110" s="15"/>
      <c r="V110" s="15"/>
    </row>
    <row r="111" spans="1:22">
      <c r="A111" s="253"/>
      <c r="B111" s="234"/>
      <c r="C111" s="249"/>
      <c r="D111" s="250"/>
      <c r="E111" s="250"/>
      <c r="F111" s="250"/>
      <c r="G111" s="250"/>
      <c r="H111" s="250"/>
      <c r="I111" s="250"/>
      <c r="J111" s="251"/>
      <c r="K111" s="249"/>
      <c r="L111" s="250"/>
      <c r="M111" s="250"/>
      <c r="N111" s="250"/>
      <c r="O111" s="249"/>
      <c r="P111" s="249"/>
      <c r="Q111" s="250"/>
      <c r="R111" s="252"/>
      <c r="S111" s="15"/>
      <c r="T111" s="15"/>
      <c r="U111" s="15"/>
      <c r="V111" s="15"/>
    </row>
    <row r="112" spans="1:22">
      <c r="A112" s="253"/>
      <c r="B112" s="254"/>
      <c r="C112" s="255"/>
      <c r="D112" s="256"/>
      <c r="E112" s="256"/>
      <c r="F112" s="256"/>
      <c r="G112" s="256"/>
      <c r="H112" s="256"/>
      <c r="I112" s="256"/>
      <c r="J112" s="257"/>
      <c r="K112" s="255"/>
      <c r="L112" s="256"/>
      <c r="M112" s="256"/>
      <c r="N112" s="256"/>
      <c r="O112" s="255"/>
      <c r="P112" s="255"/>
      <c r="Q112" s="256"/>
      <c r="R112" s="258"/>
      <c r="S112" s="15"/>
      <c r="T112" s="15"/>
      <c r="U112" s="15"/>
      <c r="V112" s="15"/>
    </row>
    <row r="113" spans="1:22">
      <c r="A113" s="260"/>
      <c r="B113" s="317"/>
      <c r="C113" s="318"/>
      <c r="D113" s="319"/>
      <c r="E113" s="319"/>
      <c r="F113" s="319"/>
      <c r="G113" s="319"/>
      <c r="H113" s="319"/>
      <c r="I113" s="319"/>
      <c r="J113" s="320"/>
      <c r="K113" s="318"/>
      <c r="L113" s="319"/>
      <c r="M113" s="319"/>
      <c r="N113" s="319"/>
      <c r="O113" s="318"/>
      <c r="P113" s="321"/>
      <c r="Q113" s="319"/>
      <c r="R113" s="322"/>
      <c r="S113" s="15"/>
      <c r="T113" s="15"/>
      <c r="U113" s="15"/>
      <c r="V113" s="15"/>
    </row>
    <row r="114" spans="1:22">
      <c r="A114" s="248"/>
      <c r="B114" s="234"/>
      <c r="C114" s="249"/>
      <c r="D114" s="250"/>
      <c r="E114" s="250"/>
      <c r="F114" s="250"/>
      <c r="G114" s="250"/>
      <c r="H114" s="250"/>
      <c r="I114" s="250"/>
      <c r="J114" s="251"/>
      <c r="K114" s="249"/>
      <c r="L114" s="250"/>
      <c r="M114" s="250"/>
      <c r="N114" s="250"/>
      <c r="O114" s="249"/>
      <c r="P114" s="249"/>
      <c r="Q114" s="250"/>
      <c r="R114" s="252"/>
      <c r="S114" s="15"/>
      <c r="T114" s="15"/>
      <c r="U114" s="15"/>
      <c r="V114" s="15"/>
    </row>
    <row r="115" spans="1:22">
      <c r="A115" s="253"/>
      <c r="B115" s="254"/>
      <c r="C115" s="255"/>
      <c r="D115" s="256"/>
      <c r="E115" s="256"/>
      <c r="F115" s="256"/>
      <c r="G115" s="256"/>
      <c r="H115" s="256"/>
      <c r="I115" s="256"/>
      <c r="J115" s="257"/>
      <c r="K115" s="255"/>
      <c r="L115" s="256"/>
      <c r="M115" s="256"/>
      <c r="N115" s="256"/>
      <c r="O115" s="255"/>
      <c r="P115" s="255"/>
      <c r="Q115" s="256"/>
      <c r="R115" s="258"/>
      <c r="S115" s="15"/>
      <c r="T115" s="15"/>
      <c r="U115" s="15"/>
      <c r="V115" s="15"/>
    </row>
    <row r="116" spans="1:22">
      <c r="A116" s="253"/>
      <c r="B116" s="317"/>
      <c r="C116" s="318"/>
      <c r="D116" s="319"/>
      <c r="E116" s="319"/>
      <c r="F116" s="319"/>
      <c r="G116" s="319"/>
      <c r="H116" s="319"/>
      <c r="I116" s="319"/>
      <c r="J116" s="320"/>
      <c r="K116" s="318"/>
      <c r="L116" s="319"/>
      <c r="M116" s="319"/>
      <c r="N116" s="331"/>
      <c r="O116" s="318"/>
      <c r="P116" s="321"/>
      <c r="Q116" s="319"/>
      <c r="R116" s="322"/>
      <c r="S116" s="605"/>
      <c r="T116" s="15"/>
      <c r="U116" s="15"/>
      <c r="V116" s="15"/>
    </row>
    <row r="117" spans="1:22">
      <c r="A117" s="253"/>
      <c r="B117" s="234"/>
      <c r="C117" s="249"/>
      <c r="D117" s="250"/>
      <c r="E117" s="250"/>
      <c r="F117" s="250"/>
      <c r="G117" s="250"/>
      <c r="H117" s="250"/>
      <c r="I117" s="250"/>
      <c r="J117" s="251"/>
      <c r="K117" s="249"/>
      <c r="L117" s="250"/>
      <c r="M117" s="250"/>
      <c r="N117" s="250"/>
      <c r="O117" s="249"/>
      <c r="P117" s="249"/>
      <c r="Q117" s="250"/>
      <c r="R117" s="252"/>
      <c r="S117" s="15"/>
      <c r="T117" s="15"/>
      <c r="U117" s="15"/>
      <c r="V117" s="15"/>
    </row>
    <row r="118" spans="1:22">
      <c r="A118" s="253"/>
      <c r="B118" s="254"/>
      <c r="C118" s="255"/>
      <c r="D118" s="256"/>
      <c r="E118" s="256"/>
      <c r="F118" s="256"/>
      <c r="G118" s="256"/>
      <c r="H118" s="256"/>
      <c r="I118" s="256"/>
      <c r="J118" s="257"/>
      <c r="K118" s="255"/>
      <c r="L118" s="256"/>
      <c r="M118" s="256"/>
      <c r="N118" s="256"/>
      <c r="O118" s="255"/>
      <c r="P118" s="255"/>
      <c r="Q118" s="256"/>
      <c r="R118" s="258"/>
      <c r="S118" s="15"/>
      <c r="T118" s="15"/>
      <c r="U118" s="15"/>
      <c r="V118" s="15"/>
    </row>
    <row r="119" spans="1:22">
      <c r="A119" s="253"/>
      <c r="B119" s="317"/>
      <c r="C119" s="318"/>
      <c r="D119" s="319"/>
      <c r="E119" s="319"/>
      <c r="F119" s="319"/>
      <c r="G119" s="319"/>
      <c r="H119" s="319"/>
      <c r="I119" s="319"/>
      <c r="J119" s="320"/>
      <c r="K119" s="318"/>
      <c r="L119" s="319"/>
      <c r="M119" s="319"/>
      <c r="N119" s="319"/>
      <c r="O119" s="318"/>
      <c r="P119" s="321"/>
      <c r="Q119" s="319"/>
      <c r="R119" s="322"/>
      <c r="S119" s="15"/>
      <c r="T119" s="15"/>
      <c r="U119" s="15"/>
      <c r="V119" s="15"/>
    </row>
    <row r="120" spans="1:22">
      <c r="A120" s="253"/>
      <c r="B120" s="234"/>
      <c r="C120" s="249"/>
      <c r="D120" s="250"/>
      <c r="E120" s="250"/>
      <c r="F120" s="250"/>
      <c r="G120" s="250"/>
      <c r="H120" s="250"/>
      <c r="I120" s="250"/>
      <c r="J120" s="251"/>
      <c r="K120" s="249"/>
      <c r="L120" s="250"/>
      <c r="M120" s="250"/>
      <c r="N120" s="250"/>
      <c r="O120" s="249"/>
      <c r="P120" s="249"/>
      <c r="Q120" s="250"/>
      <c r="R120" s="252"/>
      <c r="S120" s="15"/>
      <c r="T120" s="15"/>
      <c r="U120" s="15"/>
      <c r="V120" s="15"/>
    </row>
    <row r="121" spans="1:22">
      <c r="A121" s="253"/>
      <c r="B121" s="254"/>
      <c r="C121" s="255"/>
      <c r="D121" s="256"/>
      <c r="E121" s="256"/>
      <c r="F121" s="256"/>
      <c r="G121" s="256"/>
      <c r="H121" s="256"/>
      <c r="I121" s="256"/>
      <c r="J121" s="257"/>
      <c r="K121" s="255"/>
      <c r="L121" s="256"/>
      <c r="M121" s="256"/>
      <c r="N121" s="256"/>
      <c r="O121" s="255"/>
      <c r="P121" s="255"/>
      <c r="Q121" s="256"/>
      <c r="R121" s="258"/>
      <c r="S121" s="15"/>
      <c r="T121" s="15"/>
      <c r="U121" s="15"/>
      <c r="V121" s="15"/>
    </row>
    <row r="122" spans="1:22">
      <c r="A122" s="253"/>
      <c r="B122" s="317"/>
      <c r="C122" s="318"/>
      <c r="D122" s="319"/>
      <c r="E122" s="319"/>
      <c r="F122" s="319"/>
      <c r="G122" s="319"/>
      <c r="H122" s="319"/>
      <c r="I122" s="319"/>
      <c r="J122" s="320"/>
      <c r="K122" s="318"/>
      <c r="L122" s="319"/>
      <c r="M122" s="319"/>
      <c r="N122" s="319"/>
      <c r="O122" s="318"/>
      <c r="P122" s="321"/>
      <c r="Q122" s="319"/>
      <c r="R122" s="322"/>
      <c r="S122" s="15"/>
      <c r="T122" s="15"/>
      <c r="U122" s="15"/>
      <c r="V122" s="15"/>
    </row>
    <row r="123" spans="1:22">
      <c r="A123" s="253"/>
      <c r="B123" s="234"/>
      <c r="C123" s="249"/>
      <c r="D123" s="250"/>
      <c r="E123" s="250"/>
      <c r="F123" s="250"/>
      <c r="G123" s="250"/>
      <c r="H123" s="250"/>
      <c r="I123" s="250"/>
      <c r="J123" s="251"/>
      <c r="K123" s="249"/>
      <c r="L123" s="250"/>
      <c r="M123" s="250"/>
      <c r="N123" s="250"/>
      <c r="O123" s="249"/>
      <c r="P123" s="249"/>
      <c r="Q123" s="250"/>
      <c r="R123" s="252"/>
      <c r="S123" s="15"/>
      <c r="T123" s="15"/>
      <c r="U123" s="15"/>
      <c r="V123" s="15"/>
    </row>
    <row r="124" spans="1:22">
      <c r="A124" s="253"/>
      <c r="B124" s="254"/>
      <c r="C124" s="255"/>
      <c r="D124" s="256"/>
      <c r="E124" s="256"/>
      <c r="F124" s="256"/>
      <c r="G124" s="256"/>
      <c r="H124" s="256"/>
      <c r="I124" s="256"/>
      <c r="J124" s="257"/>
      <c r="K124" s="255"/>
      <c r="L124" s="256"/>
      <c r="M124" s="256"/>
      <c r="N124" s="256"/>
      <c r="O124" s="255"/>
      <c r="P124" s="255"/>
      <c r="Q124" s="256"/>
      <c r="R124" s="258"/>
      <c r="S124" s="15"/>
      <c r="T124" s="15"/>
      <c r="U124" s="15"/>
      <c r="V124" s="15"/>
    </row>
    <row r="125" spans="1:22">
      <c r="A125" s="253"/>
      <c r="B125" s="317"/>
      <c r="C125" s="318"/>
      <c r="D125" s="319"/>
      <c r="E125" s="319"/>
      <c r="F125" s="319"/>
      <c r="G125" s="319"/>
      <c r="H125" s="319"/>
      <c r="I125" s="319"/>
      <c r="J125" s="320"/>
      <c r="K125" s="318"/>
      <c r="L125" s="319"/>
      <c r="M125" s="319"/>
      <c r="N125" s="319"/>
      <c r="O125" s="318"/>
      <c r="P125" s="321"/>
      <c r="Q125" s="319"/>
      <c r="R125" s="322"/>
      <c r="S125" s="15"/>
      <c r="T125" s="15"/>
      <c r="U125" s="15"/>
      <c r="V125" s="15"/>
    </row>
    <row r="126" spans="1:22">
      <c r="A126" s="253"/>
      <c r="B126" s="234"/>
      <c r="C126" s="249"/>
      <c r="D126" s="250"/>
      <c r="E126" s="250"/>
      <c r="F126" s="250"/>
      <c r="G126" s="250"/>
      <c r="H126" s="250"/>
      <c r="I126" s="250"/>
      <c r="J126" s="251"/>
      <c r="K126" s="249"/>
      <c r="L126" s="250"/>
      <c r="M126" s="250"/>
      <c r="N126" s="250"/>
      <c r="O126" s="249"/>
      <c r="P126" s="249"/>
      <c r="Q126" s="250"/>
      <c r="R126" s="252"/>
      <c r="S126" s="15"/>
      <c r="T126" s="15"/>
      <c r="U126" s="15"/>
      <c r="V126" s="15"/>
    </row>
    <row r="127" spans="1:22">
      <c r="A127" s="253"/>
      <c r="B127" s="254"/>
      <c r="C127" s="255"/>
      <c r="D127" s="256"/>
      <c r="E127" s="256"/>
      <c r="F127" s="256"/>
      <c r="G127" s="256"/>
      <c r="H127" s="256"/>
      <c r="I127" s="256"/>
      <c r="J127" s="257"/>
      <c r="K127" s="255"/>
      <c r="L127" s="256"/>
      <c r="M127" s="256"/>
      <c r="N127" s="256"/>
      <c r="O127" s="255"/>
      <c r="P127" s="255"/>
      <c r="Q127" s="256"/>
      <c r="R127" s="258"/>
      <c r="S127" s="15"/>
      <c r="T127" s="15"/>
      <c r="U127" s="15"/>
      <c r="V127" s="15"/>
    </row>
    <row r="128" spans="1:22">
      <c r="A128" s="253"/>
      <c r="B128" s="317"/>
      <c r="C128" s="318"/>
      <c r="D128" s="319"/>
      <c r="E128" s="319"/>
      <c r="F128" s="319"/>
      <c r="G128" s="319"/>
      <c r="H128" s="319"/>
      <c r="I128" s="319"/>
      <c r="J128" s="320"/>
      <c r="K128" s="318"/>
      <c r="L128" s="319"/>
      <c r="M128" s="319"/>
      <c r="N128" s="331"/>
      <c r="O128" s="318"/>
      <c r="P128" s="321"/>
      <c r="Q128" s="319"/>
      <c r="R128" s="322"/>
      <c r="S128" s="15"/>
      <c r="T128" s="15"/>
      <c r="U128" s="15"/>
      <c r="V128" s="15"/>
    </row>
    <row r="129" spans="1:22">
      <c r="A129" s="253"/>
      <c r="B129" s="234"/>
      <c r="C129" s="249"/>
      <c r="D129" s="250"/>
      <c r="E129" s="250"/>
      <c r="F129" s="250"/>
      <c r="G129" s="250"/>
      <c r="H129" s="250"/>
      <c r="I129" s="250"/>
      <c r="J129" s="251"/>
      <c r="K129" s="249"/>
      <c r="L129" s="250"/>
      <c r="M129" s="250"/>
      <c r="N129" s="250"/>
      <c r="O129" s="249"/>
      <c r="P129" s="249"/>
      <c r="Q129" s="250"/>
      <c r="R129" s="252"/>
      <c r="S129" s="15"/>
      <c r="T129" s="15"/>
      <c r="U129" s="15"/>
      <c r="V129" s="15"/>
    </row>
    <row r="130" spans="1:22">
      <c r="A130" s="253"/>
      <c r="B130" s="254"/>
      <c r="C130" s="255"/>
      <c r="D130" s="256"/>
      <c r="E130" s="256"/>
      <c r="F130" s="256"/>
      <c r="G130" s="256"/>
      <c r="H130" s="256"/>
      <c r="I130" s="256"/>
      <c r="J130" s="257"/>
      <c r="K130" s="255"/>
      <c r="L130" s="256"/>
      <c r="M130" s="256"/>
      <c r="N130" s="256"/>
      <c r="O130" s="255"/>
      <c r="P130" s="255"/>
      <c r="Q130" s="256"/>
      <c r="R130" s="258"/>
      <c r="S130" s="15"/>
      <c r="T130" s="15"/>
      <c r="U130" s="15"/>
      <c r="V130" s="15"/>
    </row>
    <row r="131" spans="1:22">
      <c r="A131" s="253"/>
      <c r="B131" s="317"/>
      <c r="C131" s="318"/>
      <c r="D131" s="319"/>
      <c r="E131" s="319"/>
      <c r="F131" s="319"/>
      <c r="G131" s="319"/>
      <c r="H131" s="319"/>
      <c r="I131" s="319"/>
      <c r="J131" s="320"/>
      <c r="K131" s="318"/>
      <c r="L131" s="319"/>
      <c r="M131" s="319"/>
      <c r="N131" s="319"/>
      <c r="O131" s="318"/>
      <c r="P131" s="321"/>
      <c r="Q131" s="319"/>
      <c r="R131" s="322"/>
      <c r="S131" s="15"/>
      <c r="T131" s="15"/>
      <c r="U131" s="15"/>
      <c r="V131" s="15"/>
    </row>
    <row r="132" spans="1:22">
      <c r="A132" s="253"/>
      <c r="B132" s="234"/>
      <c r="C132" s="249"/>
      <c r="D132" s="250"/>
      <c r="E132" s="250"/>
      <c r="F132" s="250"/>
      <c r="G132" s="250"/>
      <c r="H132" s="250"/>
      <c r="I132" s="250"/>
      <c r="J132" s="251"/>
      <c r="K132" s="249"/>
      <c r="L132" s="250"/>
      <c r="M132" s="250"/>
      <c r="N132" s="250"/>
      <c r="O132" s="249"/>
      <c r="P132" s="249"/>
      <c r="Q132" s="250"/>
      <c r="R132" s="252"/>
      <c r="S132" s="15"/>
      <c r="T132" s="15"/>
      <c r="U132" s="15"/>
      <c r="V132" s="15"/>
    </row>
    <row r="133" spans="1:22">
      <c r="A133" s="253"/>
      <c r="B133" s="254"/>
      <c r="C133" s="255"/>
      <c r="D133" s="256"/>
      <c r="E133" s="256"/>
      <c r="F133" s="256"/>
      <c r="G133" s="256"/>
      <c r="H133" s="256"/>
      <c r="I133" s="256"/>
      <c r="J133" s="257"/>
      <c r="K133" s="255"/>
      <c r="L133" s="256"/>
      <c r="M133" s="256"/>
      <c r="N133" s="256"/>
      <c r="O133" s="255"/>
      <c r="P133" s="255"/>
      <c r="Q133" s="256"/>
      <c r="R133" s="258"/>
      <c r="S133" s="15"/>
      <c r="T133" s="15"/>
      <c r="U133" s="15"/>
      <c r="V133" s="15"/>
    </row>
    <row r="134" spans="1:22">
      <c r="A134" s="253"/>
      <c r="B134" s="317"/>
      <c r="C134" s="318"/>
      <c r="D134" s="331"/>
      <c r="E134" s="319"/>
      <c r="F134" s="319"/>
      <c r="G134" s="319"/>
      <c r="H134" s="319"/>
      <c r="I134" s="319"/>
      <c r="J134" s="320"/>
      <c r="K134" s="318"/>
      <c r="L134" s="319"/>
      <c r="M134" s="319"/>
      <c r="N134" s="319"/>
      <c r="O134" s="318"/>
      <c r="P134" s="321"/>
      <c r="Q134" s="319"/>
      <c r="R134" s="322"/>
      <c r="S134" s="15"/>
      <c r="T134" s="15"/>
      <c r="U134" s="15"/>
      <c r="V134" s="15"/>
    </row>
    <row r="135" spans="1:22">
      <c r="A135" s="253"/>
      <c r="B135" s="234"/>
      <c r="C135" s="249"/>
      <c r="D135" s="250"/>
      <c r="E135" s="250"/>
      <c r="F135" s="250"/>
      <c r="G135" s="250"/>
      <c r="H135" s="250"/>
      <c r="I135" s="250"/>
      <c r="J135" s="251"/>
      <c r="K135" s="249"/>
      <c r="L135" s="250"/>
      <c r="M135" s="250"/>
      <c r="N135" s="250"/>
      <c r="O135" s="249"/>
      <c r="P135" s="249"/>
      <c r="Q135" s="250"/>
      <c r="R135" s="252"/>
      <c r="S135" s="15"/>
      <c r="T135" s="15"/>
      <c r="U135" s="15"/>
      <c r="V135" s="15"/>
    </row>
    <row r="136" spans="1:22">
      <c r="A136" s="253"/>
      <c r="B136" s="254"/>
      <c r="C136" s="255"/>
      <c r="D136" s="256"/>
      <c r="E136" s="256"/>
      <c r="F136" s="256"/>
      <c r="G136" s="256"/>
      <c r="H136" s="256"/>
      <c r="I136" s="256"/>
      <c r="J136" s="257"/>
      <c r="K136" s="255"/>
      <c r="L136" s="256"/>
      <c r="M136" s="256"/>
      <c r="N136" s="256"/>
      <c r="O136" s="255"/>
      <c r="P136" s="255"/>
      <c r="Q136" s="256"/>
      <c r="R136" s="258"/>
      <c r="S136" s="15"/>
      <c r="T136" s="15"/>
      <c r="U136" s="15"/>
      <c r="V136" s="15"/>
    </row>
    <row r="137" spans="1:22">
      <c r="A137" s="253"/>
      <c r="B137" s="317"/>
      <c r="C137" s="318"/>
      <c r="D137" s="319"/>
      <c r="E137" s="319"/>
      <c r="F137" s="319"/>
      <c r="G137" s="319"/>
      <c r="H137" s="319"/>
      <c r="I137" s="319"/>
      <c r="J137" s="320"/>
      <c r="K137" s="318"/>
      <c r="L137" s="319"/>
      <c r="M137" s="319"/>
      <c r="N137" s="319"/>
      <c r="O137" s="318"/>
      <c r="P137" s="321"/>
      <c r="Q137" s="319"/>
      <c r="R137" s="322"/>
      <c r="S137" s="15"/>
      <c r="T137" s="15"/>
      <c r="U137" s="15"/>
      <c r="V137" s="15"/>
    </row>
    <row r="138" spans="1:22">
      <c r="A138" s="253"/>
      <c r="B138" s="234"/>
      <c r="C138" s="249"/>
      <c r="D138" s="250"/>
      <c r="E138" s="250"/>
      <c r="F138" s="250"/>
      <c r="G138" s="250"/>
      <c r="H138" s="250"/>
      <c r="I138" s="250"/>
      <c r="J138" s="251"/>
      <c r="K138" s="249"/>
      <c r="L138" s="250"/>
      <c r="M138" s="250"/>
      <c r="N138" s="250"/>
      <c r="O138" s="249"/>
      <c r="P138" s="249"/>
      <c r="Q138" s="250"/>
      <c r="R138" s="252"/>
      <c r="S138" s="15"/>
      <c r="T138" s="15"/>
      <c r="U138" s="15"/>
      <c r="V138" s="15"/>
    </row>
    <row r="139" spans="1:22">
      <c r="A139" s="253"/>
      <c r="B139" s="254"/>
      <c r="C139" s="255"/>
      <c r="D139" s="256"/>
      <c r="E139" s="256"/>
      <c r="F139" s="256"/>
      <c r="G139" s="256"/>
      <c r="H139" s="256"/>
      <c r="I139" s="256"/>
      <c r="J139" s="257"/>
      <c r="K139" s="255"/>
      <c r="L139" s="256"/>
      <c r="M139" s="256"/>
      <c r="N139" s="256"/>
      <c r="O139" s="255"/>
      <c r="P139" s="255"/>
      <c r="Q139" s="256"/>
      <c r="R139" s="258"/>
      <c r="S139" s="15"/>
      <c r="T139" s="15"/>
      <c r="U139" s="15"/>
      <c r="V139" s="15"/>
    </row>
    <row r="140" spans="1:22">
      <c r="A140" s="253"/>
      <c r="B140" s="317"/>
      <c r="C140" s="318"/>
      <c r="D140" s="331"/>
      <c r="E140" s="319"/>
      <c r="F140" s="319"/>
      <c r="G140" s="319"/>
      <c r="H140" s="319"/>
      <c r="I140" s="319"/>
      <c r="J140" s="320"/>
      <c r="K140" s="318"/>
      <c r="L140" s="319"/>
      <c r="M140" s="319"/>
      <c r="N140" s="319"/>
      <c r="O140" s="318"/>
      <c r="P140" s="321"/>
      <c r="Q140" s="319"/>
      <c r="R140" s="322"/>
      <c r="S140" s="15"/>
      <c r="T140" s="15"/>
      <c r="U140" s="15"/>
      <c r="V140" s="15"/>
    </row>
    <row r="141" spans="1:22">
      <c r="A141" s="253"/>
      <c r="B141" s="234"/>
      <c r="C141" s="249"/>
      <c r="D141" s="250"/>
      <c r="E141" s="250"/>
      <c r="F141" s="250"/>
      <c r="G141" s="250"/>
      <c r="H141" s="250"/>
      <c r="I141" s="250"/>
      <c r="J141" s="251"/>
      <c r="K141" s="249"/>
      <c r="L141" s="250"/>
      <c r="M141" s="250"/>
      <c r="N141" s="250"/>
      <c r="O141" s="249"/>
      <c r="P141" s="249"/>
      <c r="Q141" s="250"/>
      <c r="R141" s="252"/>
      <c r="S141" s="15"/>
      <c r="T141" s="15"/>
      <c r="U141" s="15"/>
      <c r="V141" s="15"/>
    </row>
    <row r="142" spans="1:22">
      <c r="A142" s="253"/>
      <c r="B142" s="254"/>
      <c r="C142" s="255"/>
      <c r="D142" s="256"/>
      <c r="E142" s="256"/>
      <c r="F142" s="256"/>
      <c r="G142" s="256"/>
      <c r="H142" s="256"/>
      <c r="I142" s="256"/>
      <c r="J142" s="257"/>
      <c r="K142" s="255"/>
      <c r="L142" s="256"/>
      <c r="M142" s="256"/>
      <c r="N142" s="256"/>
      <c r="O142" s="255"/>
      <c r="P142" s="255"/>
      <c r="Q142" s="256"/>
      <c r="R142" s="258"/>
      <c r="S142" s="15"/>
      <c r="T142" s="15"/>
      <c r="U142" s="15"/>
      <c r="V142" s="15"/>
    </row>
    <row r="143" spans="1:22">
      <c r="A143" s="253"/>
      <c r="B143" s="317"/>
      <c r="C143" s="318"/>
      <c r="D143" s="319"/>
      <c r="E143" s="319"/>
      <c r="F143" s="319"/>
      <c r="G143" s="319"/>
      <c r="H143" s="319"/>
      <c r="I143" s="319"/>
      <c r="J143" s="320"/>
      <c r="K143" s="318"/>
      <c r="L143" s="319"/>
      <c r="M143" s="319"/>
      <c r="N143" s="319"/>
      <c r="O143" s="318"/>
      <c r="P143" s="321"/>
      <c r="Q143" s="319"/>
      <c r="R143" s="322"/>
      <c r="S143" s="15"/>
      <c r="T143" s="15"/>
      <c r="U143" s="15"/>
      <c r="V143" s="15"/>
    </row>
    <row r="144" spans="1:22">
      <c r="A144" s="253"/>
      <c r="B144" s="234"/>
      <c r="C144" s="249"/>
      <c r="D144" s="250"/>
      <c r="E144" s="250"/>
      <c r="F144" s="250"/>
      <c r="G144" s="250"/>
      <c r="H144" s="250"/>
      <c r="I144" s="250"/>
      <c r="J144" s="251"/>
      <c r="K144" s="249"/>
      <c r="L144" s="250"/>
      <c r="M144" s="250"/>
      <c r="N144" s="250"/>
      <c r="O144" s="249"/>
      <c r="P144" s="249"/>
      <c r="Q144" s="250"/>
      <c r="R144" s="252"/>
      <c r="S144" s="15"/>
      <c r="T144" s="15"/>
      <c r="U144" s="15"/>
      <c r="V144" s="15"/>
    </row>
    <row r="145" spans="1:22">
      <c r="A145" s="253"/>
      <c r="B145" s="254"/>
      <c r="C145" s="255"/>
      <c r="D145" s="256"/>
      <c r="E145" s="256"/>
      <c r="F145" s="256"/>
      <c r="G145" s="256"/>
      <c r="H145" s="256"/>
      <c r="I145" s="256"/>
      <c r="J145" s="257"/>
      <c r="K145" s="255"/>
      <c r="L145" s="256"/>
      <c r="M145" s="256"/>
      <c r="N145" s="256"/>
      <c r="O145" s="255"/>
      <c r="P145" s="255"/>
      <c r="Q145" s="256"/>
      <c r="R145" s="258"/>
      <c r="S145" s="15"/>
      <c r="T145" s="15"/>
      <c r="U145" s="15"/>
      <c r="V145" s="15"/>
    </row>
    <row r="146" spans="1:22">
      <c r="A146" s="253"/>
      <c r="B146" s="317"/>
      <c r="C146" s="318"/>
      <c r="D146" s="319"/>
      <c r="E146" s="319"/>
      <c r="F146" s="319"/>
      <c r="G146" s="319"/>
      <c r="H146" s="319"/>
      <c r="I146" s="319"/>
      <c r="J146" s="320"/>
      <c r="K146" s="318"/>
      <c r="L146" s="319"/>
      <c r="M146" s="319"/>
      <c r="N146" s="319"/>
      <c r="O146" s="318"/>
      <c r="P146" s="321"/>
      <c r="Q146" s="319"/>
      <c r="R146" s="322"/>
      <c r="S146" s="15"/>
      <c r="T146" s="15"/>
      <c r="U146" s="15"/>
      <c r="V146" s="15"/>
    </row>
    <row r="147" spans="1:22">
      <c r="A147" s="253"/>
      <c r="B147" s="234"/>
      <c r="C147" s="249"/>
      <c r="D147" s="250"/>
      <c r="E147" s="250"/>
      <c r="F147" s="250"/>
      <c r="G147" s="250"/>
      <c r="H147" s="250"/>
      <c r="I147" s="250"/>
      <c r="J147" s="251"/>
      <c r="K147" s="249"/>
      <c r="L147" s="250"/>
      <c r="M147" s="250"/>
      <c r="N147" s="250"/>
      <c r="O147" s="249"/>
      <c r="P147" s="249"/>
      <c r="Q147" s="250"/>
      <c r="R147" s="252"/>
      <c r="S147" s="15"/>
      <c r="T147" s="15"/>
      <c r="U147" s="15"/>
      <c r="V147" s="15"/>
    </row>
    <row r="148" spans="1:22">
      <c r="A148" s="253"/>
      <c r="B148" s="254"/>
      <c r="C148" s="255"/>
      <c r="D148" s="256"/>
      <c r="E148" s="256"/>
      <c r="F148" s="256"/>
      <c r="G148" s="256"/>
      <c r="H148" s="256"/>
      <c r="I148" s="256"/>
      <c r="J148" s="257"/>
      <c r="K148" s="255"/>
      <c r="L148" s="256"/>
      <c r="M148" s="256"/>
      <c r="N148" s="256"/>
      <c r="O148" s="255"/>
      <c r="P148" s="255"/>
      <c r="Q148" s="256"/>
      <c r="R148" s="258"/>
      <c r="S148" s="15"/>
      <c r="T148" s="15"/>
      <c r="U148" s="15"/>
      <c r="V148" s="15"/>
    </row>
    <row r="149" spans="1:22">
      <c r="A149" s="260"/>
      <c r="B149" s="317"/>
      <c r="C149" s="318"/>
      <c r="D149" s="319"/>
      <c r="E149" s="319"/>
      <c r="F149" s="319"/>
      <c r="G149" s="319"/>
      <c r="H149" s="319"/>
      <c r="I149" s="319"/>
      <c r="J149" s="320"/>
      <c r="K149" s="318"/>
      <c r="L149" s="319"/>
      <c r="M149" s="319"/>
      <c r="N149" s="319"/>
      <c r="O149" s="318"/>
      <c r="P149" s="321"/>
      <c r="Q149" s="319"/>
      <c r="R149" s="322"/>
      <c r="S149" s="15"/>
      <c r="T149" s="15"/>
      <c r="U149" s="15"/>
      <c r="V149" s="15"/>
    </row>
    <row r="150" spans="1:22">
      <c r="A150" s="248"/>
      <c r="B150" s="234"/>
      <c r="C150" s="249"/>
      <c r="D150" s="250"/>
      <c r="E150" s="250"/>
      <c r="F150" s="250"/>
      <c r="G150" s="250"/>
      <c r="H150" s="250"/>
      <c r="I150" s="250"/>
      <c r="J150" s="251"/>
      <c r="K150" s="249"/>
      <c r="L150" s="250"/>
      <c r="M150" s="250"/>
      <c r="N150" s="250"/>
      <c r="O150" s="249"/>
      <c r="P150" s="249"/>
      <c r="Q150" s="250"/>
      <c r="R150" s="252"/>
      <c r="S150" s="15"/>
      <c r="T150" s="15"/>
      <c r="U150" s="15"/>
      <c r="V150" s="15"/>
    </row>
    <row r="151" spans="1:22">
      <c r="A151" s="253"/>
      <c r="B151" s="254"/>
      <c r="C151" s="255"/>
      <c r="D151" s="256"/>
      <c r="E151" s="256"/>
      <c r="F151" s="256"/>
      <c r="G151" s="256"/>
      <c r="H151" s="256"/>
      <c r="I151" s="256"/>
      <c r="J151" s="257"/>
      <c r="K151" s="255"/>
      <c r="L151" s="256"/>
      <c r="M151" s="256"/>
      <c r="N151" s="256"/>
      <c r="O151" s="255"/>
      <c r="P151" s="255"/>
      <c r="Q151" s="256"/>
      <c r="R151" s="258"/>
      <c r="S151" s="15"/>
      <c r="T151" s="15"/>
      <c r="U151" s="15"/>
      <c r="V151" s="15"/>
    </row>
    <row r="152" spans="1:22">
      <c r="A152" s="253"/>
      <c r="B152" s="317"/>
      <c r="C152" s="318"/>
      <c r="D152" s="319"/>
      <c r="E152" s="319"/>
      <c r="F152" s="319"/>
      <c r="G152" s="319"/>
      <c r="H152" s="319"/>
      <c r="I152" s="319"/>
      <c r="J152" s="320"/>
      <c r="K152" s="318"/>
      <c r="L152" s="319"/>
      <c r="M152" s="319"/>
      <c r="N152" s="319"/>
      <c r="O152" s="318"/>
      <c r="P152" s="321"/>
      <c r="Q152" s="319"/>
      <c r="R152" s="322"/>
      <c r="S152" s="15"/>
      <c r="T152" s="15"/>
      <c r="U152" s="15"/>
      <c r="V152" s="15"/>
    </row>
    <row r="153" spans="1:22">
      <c r="A153" s="253"/>
      <c r="B153" s="234"/>
      <c r="C153" s="249"/>
      <c r="D153" s="250"/>
      <c r="E153" s="250"/>
      <c r="F153" s="250"/>
      <c r="G153" s="250"/>
      <c r="H153" s="250"/>
      <c r="I153" s="250"/>
      <c r="J153" s="251"/>
      <c r="K153" s="249"/>
      <c r="L153" s="250"/>
      <c r="M153" s="250"/>
      <c r="N153" s="250"/>
      <c r="O153" s="249"/>
      <c r="P153" s="249"/>
      <c r="Q153" s="250"/>
      <c r="R153" s="252"/>
      <c r="S153" s="15"/>
      <c r="T153" s="15"/>
      <c r="U153" s="15"/>
      <c r="V153" s="15"/>
    </row>
    <row r="154" spans="1:22">
      <c r="A154" s="253"/>
      <c r="B154" s="254"/>
      <c r="C154" s="255"/>
      <c r="D154" s="256"/>
      <c r="E154" s="256"/>
      <c r="F154" s="256"/>
      <c r="G154" s="256"/>
      <c r="H154" s="256"/>
      <c r="I154" s="256"/>
      <c r="J154" s="257"/>
      <c r="K154" s="255"/>
      <c r="L154" s="256"/>
      <c r="M154" s="256"/>
      <c r="N154" s="256"/>
      <c r="O154" s="255"/>
      <c r="P154" s="255"/>
      <c r="Q154" s="256"/>
      <c r="R154" s="258"/>
      <c r="S154" s="15"/>
      <c r="T154" s="15"/>
      <c r="U154" s="15"/>
      <c r="V154" s="15"/>
    </row>
    <row r="155" spans="1:22">
      <c r="A155" s="253"/>
      <c r="B155" s="317"/>
      <c r="C155" s="318"/>
      <c r="D155" s="319"/>
      <c r="E155" s="319"/>
      <c r="F155" s="319"/>
      <c r="G155" s="319"/>
      <c r="H155" s="319"/>
      <c r="I155" s="319"/>
      <c r="J155" s="320"/>
      <c r="K155" s="318"/>
      <c r="L155" s="319"/>
      <c r="M155" s="319"/>
      <c r="N155" s="319"/>
      <c r="O155" s="318"/>
      <c r="P155" s="321"/>
      <c r="Q155" s="319"/>
      <c r="R155" s="322"/>
      <c r="S155" s="15"/>
      <c r="T155" s="15"/>
      <c r="U155" s="15"/>
      <c r="V155" s="15"/>
    </row>
    <row r="156" spans="1:22">
      <c r="A156" s="253"/>
      <c r="B156" s="234"/>
      <c r="C156" s="249"/>
      <c r="D156" s="250"/>
      <c r="E156" s="250"/>
      <c r="F156" s="250"/>
      <c r="G156" s="250"/>
      <c r="H156" s="250"/>
      <c r="I156" s="250"/>
      <c r="J156" s="251"/>
      <c r="K156" s="249"/>
      <c r="L156" s="250"/>
      <c r="M156" s="250"/>
      <c r="N156" s="250"/>
      <c r="O156" s="249"/>
      <c r="P156" s="249"/>
      <c r="Q156" s="250"/>
      <c r="R156" s="252"/>
      <c r="S156" s="15"/>
      <c r="T156" s="15"/>
      <c r="U156" s="15"/>
      <c r="V156" s="15"/>
    </row>
    <row r="157" spans="1:22">
      <c r="A157" s="253"/>
      <c r="B157" s="254"/>
      <c r="C157" s="255"/>
      <c r="D157" s="256"/>
      <c r="E157" s="256"/>
      <c r="F157" s="256"/>
      <c r="G157" s="256"/>
      <c r="H157" s="256"/>
      <c r="I157" s="256"/>
      <c r="J157" s="257"/>
      <c r="K157" s="255"/>
      <c r="L157" s="256"/>
      <c r="M157" s="256"/>
      <c r="N157" s="256"/>
      <c r="O157" s="255"/>
      <c r="P157" s="255"/>
      <c r="Q157" s="256"/>
      <c r="R157" s="258"/>
      <c r="S157" s="15"/>
      <c r="T157" s="15"/>
      <c r="U157" s="15"/>
      <c r="V157" s="15"/>
    </row>
    <row r="158" spans="1:22">
      <c r="A158" s="253"/>
      <c r="B158" s="317"/>
      <c r="C158" s="318"/>
      <c r="D158" s="319"/>
      <c r="E158" s="319"/>
      <c r="F158" s="319"/>
      <c r="G158" s="319"/>
      <c r="H158" s="319"/>
      <c r="I158" s="319"/>
      <c r="J158" s="320"/>
      <c r="K158" s="318"/>
      <c r="L158" s="319"/>
      <c r="M158" s="319"/>
      <c r="N158" s="319"/>
      <c r="O158" s="318"/>
      <c r="P158" s="321"/>
      <c r="Q158" s="319"/>
      <c r="R158" s="322"/>
      <c r="S158" s="15"/>
      <c r="T158" s="15"/>
      <c r="U158" s="15"/>
      <c r="V158" s="15"/>
    </row>
    <row r="159" spans="1:22">
      <c r="A159" s="253"/>
      <c r="B159" s="234"/>
      <c r="C159" s="249"/>
      <c r="D159" s="250"/>
      <c r="E159" s="250"/>
      <c r="F159" s="250"/>
      <c r="G159" s="250"/>
      <c r="H159" s="250"/>
      <c r="I159" s="250"/>
      <c r="J159" s="251"/>
      <c r="K159" s="249"/>
      <c r="L159" s="250"/>
      <c r="M159" s="250"/>
      <c r="N159" s="250"/>
      <c r="O159" s="249"/>
      <c r="P159" s="249"/>
      <c r="Q159" s="250"/>
      <c r="R159" s="252"/>
      <c r="S159" s="15"/>
      <c r="T159" s="15"/>
      <c r="U159" s="15"/>
      <c r="V159" s="15"/>
    </row>
    <row r="160" spans="1:22">
      <c r="A160" s="253"/>
      <c r="B160" s="254"/>
      <c r="C160" s="255"/>
      <c r="D160" s="256"/>
      <c r="E160" s="256"/>
      <c r="F160" s="256"/>
      <c r="G160" s="256"/>
      <c r="H160" s="256"/>
      <c r="I160" s="256"/>
      <c r="J160" s="257"/>
      <c r="K160" s="255"/>
      <c r="L160" s="256"/>
      <c r="M160" s="256"/>
      <c r="N160" s="256"/>
      <c r="O160" s="255"/>
      <c r="P160" s="255"/>
      <c r="Q160" s="256"/>
      <c r="R160" s="258"/>
      <c r="S160" s="15"/>
      <c r="T160" s="15"/>
      <c r="U160" s="15"/>
      <c r="V160" s="15"/>
    </row>
    <row r="161" spans="1:22">
      <c r="A161" s="253"/>
      <c r="B161" s="317"/>
      <c r="C161" s="318"/>
      <c r="D161" s="319"/>
      <c r="E161" s="319"/>
      <c r="F161" s="319"/>
      <c r="G161" s="319"/>
      <c r="H161" s="319"/>
      <c r="I161" s="319"/>
      <c r="J161" s="320"/>
      <c r="K161" s="318"/>
      <c r="L161" s="319"/>
      <c r="M161" s="319"/>
      <c r="N161" s="319"/>
      <c r="O161" s="318"/>
      <c r="P161" s="321"/>
      <c r="Q161" s="319"/>
      <c r="R161" s="322"/>
      <c r="S161" s="15"/>
      <c r="T161" s="15"/>
      <c r="U161" s="15"/>
      <c r="V161" s="15"/>
    </row>
    <row r="162" spans="1:22">
      <c r="A162" s="253"/>
      <c r="B162" s="234"/>
      <c r="C162" s="249"/>
      <c r="D162" s="250"/>
      <c r="E162" s="250"/>
      <c r="F162" s="250"/>
      <c r="G162" s="250"/>
      <c r="H162" s="250"/>
      <c r="I162" s="250"/>
      <c r="J162" s="251"/>
      <c r="K162" s="249"/>
      <c r="L162" s="250"/>
      <c r="M162" s="250"/>
      <c r="N162" s="250"/>
      <c r="O162" s="249"/>
      <c r="P162" s="249"/>
      <c r="Q162" s="250"/>
      <c r="R162" s="252"/>
      <c r="S162" s="15"/>
      <c r="T162" s="15"/>
      <c r="U162" s="15"/>
      <c r="V162" s="15"/>
    </row>
    <row r="163" spans="1:22">
      <c r="A163" s="253"/>
      <c r="B163" s="254"/>
      <c r="C163" s="255"/>
      <c r="D163" s="256"/>
      <c r="E163" s="256"/>
      <c r="F163" s="256"/>
      <c r="G163" s="256"/>
      <c r="H163" s="256"/>
      <c r="I163" s="256"/>
      <c r="J163" s="257"/>
      <c r="K163" s="255"/>
      <c r="L163" s="256"/>
      <c r="M163" s="256"/>
      <c r="N163" s="256"/>
      <c r="O163" s="255"/>
      <c r="P163" s="255"/>
      <c r="Q163" s="256"/>
      <c r="R163" s="258"/>
      <c r="S163" s="15"/>
      <c r="T163" s="15"/>
      <c r="U163" s="15"/>
      <c r="V163" s="15"/>
    </row>
    <row r="164" spans="1:22">
      <c r="A164" s="253"/>
      <c r="B164" s="317"/>
      <c r="C164" s="318"/>
      <c r="D164" s="319"/>
      <c r="E164" s="319"/>
      <c r="F164" s="319"/>
      <c r="G164" s="319"/>
      <c r="H164" s="319"/>
      <c r="I164" s="319"/>
      <c r="J164" s="320"/>
      <c r="K164" s="318"/>
      <c r="L164" s="319"/>
      <c r="M164" s="319"/>
      <c r="N164" s="319"/>
      <c r="O164" s="318"/>
      <c r="P164" s="321"/>
      <c r="Q164" s="319"/>
      <c r="R164" s="322"/>
      <c r="S164" s="15"/>
      <c r="T164" s="15"/>
      <c r="U164" s="15"/>
      <c r="V164" s="15"/>
    </row>
    <row r="165" spans="1:22">
      <c r="A165" s="253"/>
      <c r="B165" s="234"/>
      <c r="C165" s="249"/>
      <c r="D165" s="250"/>
      <c r="E165" s="250"/>
      <c r="F165" s="250"/>
      <c r="G165" s="250"/>
      <c r="H165" s="250"/>
      <c r="I165" s="250"/>
      <c r="J165" s="251"/>
      <c r="K165" s="249"/>
      <c r="L165" s="250"/>
      <c r="M165" s="250"/>
      <c r="N165" s="250"/>
      <c r="O165" s="249"/>
      <c r="P165" s="249"/>
      <c r="Q165" s="250"/>
      <c r="R165" s="252"/>
      <c r="S165" s="15"/>
      <c r="T165" s="15"/>
      <c r="U165" s="15"/>
      <c r="V165" s="15"/>
    </row>
    <row r="166" spans="1:22">
      <c r="A166" s="253"/>
      <c r="B166" s="254"/>
      <c r="C166" s="255"/>
      <c r="D166" s="256"/>
      <c r="E166" s="256"/>
      <c r="F166" s="256"/>
      <c r="G166" s="256"/>
      <c r="H166" s="256"/>
      <c r="I166" s="256"/>
      <c r="J166" s="257"/>
      <c r="K166" s="255"/>
      <c r="L166" s="256"/>
      <c r="M166" s="256"/>
      <c r="N166" s="256"/>
      <c r="O166" s="255"/>
      <c r="P166" s="255"/>
      <c r="Q166" s="256"/>
      <c r="R166" s="258"/>
      <c r="S166" s="15"/>
      <c r="T166" s="15"/>
      <c r="U166" s="15"/>
      <c r="V166" s="15"/>
    </row>
    <row r="167" spans="1:22">
      <c r="A167" s="253"/>
      <c r="B167" s="317"/>
      <c r="C167" s="318"/>
      <c r="D167" s="319"/>
      <c r="E167" s="319"/>
      <c r="F167" s="319"/>
      <c r="G167" s="319"/>
      <c r="H167" s="319"/>
      <c r="I167" s="319"/>
      <c r="J167" s="320"/>
      <c r="K167" s="318"/>
      <c r="L167" s="319"/>
      <c r="M167" s="319"/>
      <c r="N167" s="319"/>
      <c r="O167" s="318"/>
      <c r="P167" s="321"/>
      <c r="Q167" s="319"/>
      <c r="R167" s="322"/>
      <c r="S167" s="15"/>
      <c r="T167" s="15"/>
      <c r="U167" s="15"/>
      <c r="V167" s="15"/>
    </row>
    <row r="168" spans="1:22">
      <c r="A168" s="253"/>
      <c r="B168" s="234"/>
      <c r="C168" s="249"/>
      <c r="D168" s="250"/>
      <c r="E168" s="250"/>
      <c r="F168" s="250"/>
      <c r="G168" s="250"/>
      <c r="H168" s="250"/>
      <c r="I168" s="250"/>
      <c r="J168" s="251"/>
      <c r="K168" s="249"/>
      <c r="L168" s="250"/>
      <c r="M168" s="250"/>
      <c r="N168" s="250"/>
      <c r="O168" s="249"/>
      <c r="P168" s="249"/>
      <c r="Q168" s="250"/>
      <c r="R168" s="252"/>
      <c r="S168" s="15"/>
      <c r="T168" s="15"/>
      <c r="U168" s="15"/>
      <c r="V168" s="15"/>
    </row>
    <row r="169" spans="1:22">
      <c r="A169" s="253"/>
      <c r="B169" s="254"/>
      <c r="C169" s="255"/>
      <c r="D169" s="256"/>
      <c r="E169" s="256"/>
      <c r="F169" s="256"/>
      <c r="G169" s="256"/>
      <c r="H169" s="256"/>
      <c r="I169" s="256"/>
      <c r="J169" s="257"/>
      <c r="K169" s="255"/>
      <c r="L169" s="256"/>
      <c r="M169" s="256"/>
      <c r="N169" s="256"/>
      <c r="O169" s="255"/>
      <c r="P169" s="255"/>
      <c r="Q169" s="256"/>
      <c r="R169" s="258"/>
      <c r="S169" s="15"/>
      <c r="T169" s="15"/>
      <c r="U169" s="15"/>
      <c r="V169" s="15"/>
    </row>
    <row r="170" spans="1:22">
      <c r="A170" s="253"/>
      <c r="B170" s="317"/>
      <c r="C170" s="318"/>
      <c r="D170" s="319"/>
      <c r="E170" s="319"/>
      <c r="F170" s="319"/>
      <c r="G170" s="319"/>
      <c r="H170" s="319"/>
      <c r="I170" s="319"/>
      <c r="J170" s="320"/>
      <c r="K170" s="318"/>
      <c r="L170" s="319"/>
      <c r="M170" s="319"/>
      <c r="N170" s="319"/>
      <c r="O170" s="318"/>
      <c r="P170" s="321"/>
      <c r="Q170" s="319"/>
      <c r="R170" s="322"/>
      <c r="S170" s="15"/>
      <c r="T170" s="15"/>
      <c r="U170" s="15"/>
      <c r="V170" s="15"/>
    </row>
    <row r="171" spans="1:22">
      <c r="A171" s="253"/>
      <c r="B171" s="234"/>
      <c r="C171" s="249"/>
      <c r="D171" s="250"/>
      <c r="E171" s="250"/>
      <c r="F171" s="250"/>
      <c r="G171" s="250"/>
      <c r="H171" s="250"/>
      <c r="I171" s="250"/>
      <c r="J171" s="251"/>
      <c r="K171" s="249"/>
      <c r="L171" s="250"/>
      <c r="M171" s="250"/>
      <c r="N171" s="250"/>
      <c r="O171" s="249"/>
      <c r="P171" s="249"/>
      <c r="Q171" s="250"/>
      <c r="R171" s="252"/>
      <c r="S171" s="15"/>
      <c r="T171" s="15"/>
      <c r="U171" s="15"/>
      <c r="V171" s="15"/>
    </row>
    <row r="172" spans="1:22">
      <c r="A172" s="253"/>
      <c r="B172" s="254"/>
      <c r="C172" s="255"/>
      <c r="D172" s="256"/>
      <c r="E172" s="256"/>
      <c r="F172" s="256"/>
      <c r="G172" s="256"/>
      <c r="H172" s="256"/>
      <c r="I172" s="256"/>
      <c r="J172" s="257"/>
      <c r="K172" s="255"/>
      <c r="L172" s="256"/>
      <c r="M172" s="256"/>
      <c r="N172" s="256"/>
      <c r="O172" s="255"/>
      <c r="P172" s="255"/>
      <c r="Q172" s="256"/>
      <c r="R172" s="258"/>
      <c r="S172" s="15"/>
      <c r="T172" s="15"/>
      <c r="U172" s="15"/>
      <c r="V172" s="15"/>
    </row>
    <row r="173" spans="1:22">
      <c r="A173" s="253"/>
      <c r="B173" s="317"/>
      <c r="C173" s="318"/>
      <c r="D173" s="319"/>
      <c r="E173" s="319"/>
      <c r="F173" s="319"/>
      <c r="G173" s="319"/>
      <c r="H173" s="319"/>
      <c r="I173" s="319"/>
      <c r="J173" s="320"/>
      <c r="K173" s="318"/>
      <c r="L173" s="319"/>
      <c r="M173" s="319"/>
      <c r="N173" s="319"/>
      <c r="O173" s="318"/>
      <c r="P173" s="321"/>
      <c r="Q173" s="319"/>
      <c r="R173" s="322"/>
      <c r="S173" s="15"/>
      <c r="T173" s="15"/>
      <c r="U173" s="15"/>
      <c r="V173" s="15"/>
    </row>
    <row r="174" spans="1:22">
      <c r="A174" s="253"/>
      <c r="B174" s="234"/>
      <c r="C174" s="249"/>
      <c r="D174" s="250"/>
      <c r="E174" s="250"/>
      <c r="F174" s="250"/>
      <c r="G174" s="250"/>
      <c r="H174" s="250"/>
      <c r="I174" s="250"/>
      <c r="J174" s="251"/>
      <c r="K174" s="249"/>
      <c r="L174" s="250"/>
      <c r="M174" s="250"/>
      <c r="N174" s="250"/>
      <c r="O174" s="249"/>
      <c r="P174" s="249"/>
      <c r="Q174" s="250"/>
      <c r="R174" s="252"/>
      <c r="S174" s="15"/>
      <c r="T174" s="15"/>
      <c r="U174" s="15"/>
      <c r="V174" s="15"/>
    </row>
    <row r="175" spans="1:22">
      <c r="A175" s="253"/>
      <c r="B175" s="254"/>
      <c r="C175" s="255"/>
      <c r="D175" s="256"/>
      <c r="E175" s="256"/>
      <c r="F175" s="256"/>
      <c r="G175" s="256"/>
      <c r="H175" s="256"/>
      <c r="I175" s="256"/>
      <c r="J175" s="257"/>
      <c r="K175" s="255"/>
      <c r="L175" s="256"/>
      <c r="M175" s="256"/>
      <c r="N175" s="256"/>
      <c r="O175" s="255"/>
      <c r="P175" s="255"/>
      <c r="Q175" s="256"/>
      <c r="R175" s="258"/>
      <c r="S175" s="15"/>
      <c r="T175" s="15"/>
      <c r="U175" s="15"/>
      <c r="V175" s="15"/>
    </row>
    <row r="176" spans="1:22">
      <c r="A176" s="253"/>
      <c r="B176" s="317"/>
      <c r="C176" s="318"/>
      <c r="D176" s="319"/>
      <c r="E176" s="319"/>
      <c r="F176" s="319"/>
      <c r="G176" s="319"/>
      <c r="H176" s="319"/>
      <c r="I176" s="319"/>
      <c r="J176" s="320"/>
      <c r="K176" s="318"/>
      <c r="L176" s="319"/>
      <c r="M176" s="319"/>
      <c r="N176" s="319"/>
      <c r="O176" s="318"/>
      <c r="P176" s="321"/>
      <c r="Q176" s="319"/>
      <c r="R176" s="322"/>
      <c r="S176" s="15"/>
      <c r="T176" s="15"/>
      <c r="U176" s="15"/>
      <c r="V176" s="15"/>
    </row>
    <row r="177" spans="1:22">
      <c r="A177" s="253"/>
      <c r="B177" s="234"/>
      <c r="C177" s="249"/>
      <c r="D177" s="250"/>
      <c r="E177" s="250"/>
      <c r="F177" s="250"/>
      <c r="G177" s="250"/>
      <c r="H177" s="250"/>
      <c r="I177" s="250"/>
      <c r="J177" s="251"/>
      <c r="K177" s="249"/>
      <c r="L177" s="250"/>
      <c r="M177" s="250"/>
      <c r="N177" s="250"/>
      <c r="O177" s="249"/>
      <c r="P177" s="249"/>
      <c r="Q177" s="250"/>
      <c r="R177" s="252"/>
      <c r="S177" s="15"/>
      <c r="T177" s="15"/>
      <c r="U177" s="15"/>
      <c r="V177" s="15"/>
    </row>
    <row r="178" spans="1:22">
      <c r="A178" s="253"/>
      <c r="B178" s="254"/>
      <c r="C178" s="255"/>
      <c r="D178" s="256"/>
      <c r="E178" s="256"/>
      <c r="F178" s="256"/>
      <c r="G178" s="256"/>
      <c r="H178" s="256"/>
      <c r="I178" s="256"/>
      <c r="J178" s="257"/>
      <c r="K178" s="255"/>
      <c r="L178" s="256"/>
      <c r="M178" s="256"/>
      <c r="N178" s="256"/>
      <c r="O178" s="255"/>
      <c r="P178" s="255"/>
      <c r="Q178" s="256"/>
      <c r="R178" s="258"/>
      <c r="S178" s="15"/>
      <c r="T178" s="15"/>
      <c r="U178" s="15"/>
      <c r="V178" s="15"/>
    </row>
    <row r="179" spans="1:22">
      <c r="A179" s="253"/>
      <c r="B179" s="317"/>
      <c r="C179" s="318"/>
      <c r="D179" s="319"/>
      <c r="E179" s="319"/>
      <c r="F179" s="319"/>
      <c r="G179" s="319"/>
      <c r="H179" s="319"/>
      <c r="I179" s="319"/>
      <c r="J179" s="320"/>
      <c r="K179" s="318"/>
      <c r="L179" s="319"/>
      <c r="M179" s="319"/>
      <c r="N179" s="319"/>
      <c r="O179" s="318"/>
      <c r="P179" s="321"/>
      <c r="Q179" s="319"/>
      <c r="R179" s="322"/>
      <c r="S179" s="15"/>
      <c r="T179" s="15"/>
      <c r="U179" s="15"/>
      <c r="V179" s="15"/>
    </row>
    <row r="180" spans="1:22">
      <c r="A180" s="253"/>
      <c r="B180" s="234"/>
      <c r="C180" s="249"/>
      <c r="D180" s="250"/>
      <c r="E180" s="250"/>
      <c r="F180" s="250"/>
      <c r="G180" s="250"/>
      <c r="H180" s="250"/>
      <c r="I180" s="250"/>
      <c r="J180" s="251"/>
      <c r="K180" s="249"/>
      <c r="L180" s="250"/>
      <c r="M180" s="250"/>
      <c r="N180" s="250"/>
      <c r="O180" s="249"/>
      <c r="P180" s="249"/>
      <c r="Q180" s="250"/>
      <c r="R180" s="252"/>
      <c r="S180" s="15"/>
      <c r="T180" s="15"/>
      <c r="U180" s="15"/>
      <c r="V180" s="15"/>
    </row>
    <row r="181" spans="1:22">
      <c r="A181" s="253"/>
      <c r="B181" s="254"/>
      <c r="C181" s="255"/>
      <c r="D181" s="256"/>
      <c r="E181" s="256"/>
      <c r="F181" s="256"/>
      <c r="G181" s="256"/>
      <c r="H181" s="256"/>
      <c r="I181" s="256"/>
      <c r="J181" s="257"/>
      <c r="K181" s="255"/>
      <c r="L181" s="256"/>
      <c r="M181" s="256"/>
      <c r="N181" s="256"/>
      <c r="O181" s="255"/>
      <c r="P181" s="255"/>
      <c r="Q181" s="256"/>
      <c r="R181" s="258"/>
      <c r="S181" s="15"/>
      <c r="T181" s="15"/>
      <c r="U181" s="15"/>
      <c r="V181" s="15"/>
    </row>
    <row r="182" spans="1:22">
      <c r="A182" s="253"/>
      <c r="B182" s="317"/>
      <c r="C182" s="318"/>
      <c r="D182" s="319"/>
      <c r="E182" s="319"/>
      <c r="F182" s="319"/>
      <c r="G182" s="319"/>
      <c r="H182" s="319"/>
      <c r="I182" s="319"/>
      <c r="J182" s="320"/>
      <c r="K182" s="318"/>
      <c r="L182" s="319"/>
      <c r="M182" s="319"/>
      <c r="N182" s="319"/>
      <c r="O182" s="318"/>
      <c r="P182" s="321"/>
      <c r="Q182" s="319"/>
      <c r="R182" s="322"/>
      <c r="S182" s="15"/>
      <c r="T182" s="15"/>
      <c r="U182" s="15"/>
      <c r="V182" s="15"/>
    </row>
    <row r="183" spans="1:22">
      <c r="A183" s="253"/>
      <c r="B183" s="234"/>
      <c r="C183" s="249"/>
      <c r="D183" s="250"/>
      <c r="E183" s="250"/>
      <c r="F183" s="250"/>
      <c r="G183" s="250"/>
      <c r="H183" s="250"/>
      <c r="I183" s="250"/>
      <c r="J183" s="251"/>
      <c r="K183" s="249"/>
      <c r="L183" s="250"/>
      <c r="M183" s="250"/>
      <c r="N183" s="250"/>
      <c r="O183" s="249"/>
      <c r="P183" s="249"/>
      <c r="Q183" s="250"/>
      <c r="R183" s="252"/>
      <c r="S183" s="15"/>
      <c r="T183" s="15"/>
      <c r="U183" s="15"/>
      <c r="V183" s="15"/>
    </row>
    <row r="184" spans="1:22">
      <c r="A184" s="253"/>
      <c r="B184" s="254"/>
      <c r="C184" s="255"/>
      <c r="D184" s="256"/>
      <c r="E184" s="256"/>
      <c r="F184" s="256"/>
      <c r="G184" s="256"/>
      <c r="H184" s="256"/>
      <c r="I184" s="256"/>
      <c r="J184" s="257"/>
      <c r="K184" s="255"/>
      <c r="L184" s="256"/>
      <c r="M184" s="256"/>
      <c r="N184" s="256"/>
      <c r="O184" s="255"/>
      <c r="P184" s="255"/>
      <c r="Q184" s="256"/>
      <c r="R184" s="258"/>
      <c r="S184" s="15"/>
      <c r="T184" s="15"/>
      <c r="U184" s="15"/>
      <c r="V184" s="15"/>
    </row>
    <row r="185" spans="1:22">
      <c r="A185" s="260"/>
      <c r="B185" s="317"/>
      <c r="C185" s="318"/>
      <c r="D185" s="319"/>
      <c r="E185" s="319"/>
      <c r="F185" s="319"/>
      <c r="G185" s="319"/>
      <c r="H185" s="319"/>
      <c r="I185" s="319"/>
      <c r="J185" s="320"/>
      <c r="K185" s="318"/>
      <c r="L185" s="319"/>
      <c r="M185" s="319"/>
      <c r="N185" s="319"/>
      <c r="O185" s="318"/>
      <c r="P185" s="321"/>
      <c r="Q185" s="319"/>
      <c r="R185" s="322"/>
      <c r="S185" s="15"/>
      <c r="T185" s="15"/>
      <c r="U185" s="15"/>
      <c r="V185" s="15"/>
    </row>
    <row r="186" spans="1:22">
      <c r="A186" s="248"/>
      <c r="B186" s="234"/>
      <c r="C186" s="249"/>
      <c r="D186" s="250"/>
      <c r="E186" s="250"/>
      <c r="F186" s="250"/>
      <c r="G186" s="250"/>
      <c r="H186" s="250"/>
      <c r="I186" s="250"/>
      <c r="J186" s="251"/>
      <c r="K186" s="249"/>
      <c r="L186" s="250"/>
      <c r="M186" s="250"/>
      <c r="N186" s="250"/>
      <c r="O186" s="249"/>
      <c r="P186" s="249"/>
      <c r="Q186" s="250"/>
      <c r="R186" s="252"/>
      <c r="S186" s="15"/>
      <c r="T186" s="15"/>
      <c r="U186" s="15"/>
      <c r="V186" s="15"/>
    </row>
    <row r="187" spans="1:22">
      <c r="A187" s="253"/>
      <c r="B187" s="254"/>
      <c r="C187" s="255"/>
      <c r="D187" s="256"/>
      <c r="E187" s="256"/>
      <c r="F187" s="256"/>
      <c r="G187" s="256"/>
      <c r="H187" s="256"/>
      <c r="I187" s="256"/>
      <c r="J187" s="257"/>
      <c r="K187" s="255"/>
      <c r="L187" s="256"/>
      <c r="M187" s="256"/>
      <c r="N187" s="256"/>
      <c r="O187" s="255"/>
      <c r="P187" s="255"/>
      <c r="Q187" s="256"/>
      <c r="R187" s="258"/>
      <c r="S187" s="15"/>
      <c r="T187" s="15"/>
      <c r="U187" s="15"/>
      <c r="V187" s="15"/>
    </row>
    <row r="188" spans="1:22">
      <c r="A188" s="253"/>
      <c r="B188" s="317"/>
      <c r="C188" s="318"/>
      <c r="D188" s="319"/>
      <c r="E188" s="319"/>
      <c r="F188" s="319"/>
      <c r="G188" s="319"/>
      <c r="H188" s="319"/>
      <c r="I188" s="319"/>
      <c r="J188" s="320"/>
      <c r="K188" s="318"/>
      <c r="L188" s="319"/>
      <c r="M188" s="319"/>
      <c r="N188" s="319"/>
      <c r="O188" s="318"/>
      <c r="P188" s="321"/>
      <c r="Q188" s="319"/>
      <c r="R188" s="322"/>
      <c r="S188" s="15"/>
      <c r="T188" s="15"/>
      <c r="U188" s="15"/>
      <c r="V188" s="15"/>
    </row>
    <row r="189" spans="1:22">
      <c r="A189" s="253"/>
      <c r="B189" s="234"/>
      <c r="C189" s="249"/>
      <c r="D189" s="250"/>
      <c r="E189" s="250"/>
      <c r="F189" s="250"/>
      <c r="G189" s="250"/>
      <c r="H189" s="250"/>
      <c r="I189" s="250"/>
      <c r="J189" s="251"/>
      <c r="K189" s="249"/>
      <c r="L189" s="250"/>
      <c r="M189" s="250"/>
      <c r="N189" s="250"/>
      <c r="O189" s="249"/>
      <c r="P189" s="249"/>
      <c r="Q189" s="250"/>
      <c r="R189" s="252"/>
      <c r="S189" s="15"/>
      <c r="T189" s="15"/>
      <c r="U189" s="15"/>
      <c r="V189" s="15"/>
    </row>
    <row r="190" spans="1:22">
      <c r="A190" s="253"/>
      <c r="B190" s="254"/>
      <c r="C190" s="255"/>
      <c r="D190" s="256"/>
      <c r="E190" s="256"/>
      <c r="F190" s="256"/>
      <c r="G190" s="256"/>
      <c r="H190" s="256"/>
      <c r="I190" s="256"/>
      <c r="J190" s="257"/>
      <c r="K190" s="255"/>
      <c r="L190" s="256"/>
      <c r="M190" s="256"/>
      <c r="N190" s="256"/>
      <c r="O190" s="255"/>
      <c r="P190" s="255"/>
      <c r="Q190" s="256"/>
      <c r="R190" s="258"/>
      <c r="S190" s="15"/>
      <c r="T190" s="15"/>
      <c r="U190" s="15"/>
      <c r="V190" s="15"/>
    </row>
    <row r="191" spans="1:22">
      <c r="A191" s="253"/>
      <c r="B191" s="317"/>
      <c r="C191" s="318"/>
      <c r="D191" s="319"/>
      <c r="E191" s="319"/>
      <c r="F191" s="319"/>
      <c r="G191" s="319"/>
      <c r="H191" s="319"/>
      <c r="I191" s="319"/>
      <c r="J191" s="320"/>
      <c r="K191" s="318"/>
      <c r="L191" s="319"/>
      <c r="M191" s="319"/>
      <c r="N191" s="319"/>
      <c r="O191" s="318"/>
      <c r="P191" s="321"/>
      <c r="Q191" s="319"/>
      <c r="R191" s="322"/>
      <c r="S191" s="15"/>
      <c r="T191" s="15"/>
      <c r="U191" s="15"/>
      <c r="V191" s="15"/>
    </row>
    <row r="192" spans="1:22">
      <c r="A192" s="253"/>
      <c r="B192" s="234"/>
      <c r="C192" s="249"/>
      <c r="D192" s="250"/>
      <c r="E192" s="250"/>
      <c r="F192" s="250"/>
      <c r="G192" s="250"/>
      <c r="H192" s="250"/>
      <c r="I192" s="250"/>
      <c r="J192" s="251"/>
      <c r="K192" s="249"/>
      <c r="L192" s="250"/>
      <c r="M192" s="250"/>
      <c r="N192" s="250"/>
      <c r="O192" s="249"/>
      <c r="P192" s="249"/>
      <c r="Q192" s="250"/>
      <c r="R192" s="252"/>
      <c r="S192" s="15"/>
      <c r="T192" s="15"/>
      <c r="U192" s="15"/>
      <c r="V192" s="15"/>
    </row>
    <row r="193" spans="1:22">
      <c r="A193" s="253"/>
      <c r="B193" s="254"/>
      <c r="C193" s="255"/>
      <c r="D193" s="256"/>
      <c r="E193" s="256"/>
      <c r="F193" s="256"/>
      <c r="G193" s="256"/>
      <c r="H193" s="256"/>
      <c r="I193" s="256"/>
      <c r="J193" s="257"/>
      <c r="K193" s="255"/>
      <c r="L193" s="256"/>
      <c r="M193" s="256"/>
      <c r="N193" s="256"/>
      <c r="O193" s="255"/>
      <c r="P193" s="255"/>
      <c r="Q193" s="256"/>
      <c r="R193" s="258"/>
      <c r="S193" s="15"/>
      <c r="T193" s="15"/>
      <c r="U193" s="15"/>
      <c r="V193" s="15"/>
    </row>
    <row r="194" spans="1:22">
      <c r="A194" s="253"/>
      <c r="B194" s="317"/>
      <c r="C194" s="318"/>
      <c r="D194" s="319"/>
      <c r="E194" s="319"/>
      <c r="F194" s="319"/>
      <c r="G194" s="319"/>
      <c r="H194" s="319"/>
      <c r="I194" s="319"/>
      <c r="J194" s="320"/>
      <c r="K194" s="318"/>
      <c r="L194" s="319"/>
      <c r="M194" s="319"/>
      <c r="N194" s="319"/>
      <c r="O194" s="318"/>
      <c r="P194" s="321"/>
      <c r="Q194" s="319"/>
      <c r="R194" s="322"/>
      <c r="S194" s="15"/>
      <c r="T194" s="15"/>
      <c r="U194" s="15"/>
      <c r="V194" s="15"/>
    </row>
    <row r="195" spans="1:22">
      <c r="A195" s="253"/>
      <c r="B195" s="234"/>
      <c r="C195" s="249"/>
      <c r="D195" s="250"/>
      <c r="E195" s="250"/>
      <c r="F195" s="250"/>
      <c r="G195" s="250"/>
      <c r="H195" s="250"/>
      <c r="I195" s="250"/>
      <c r="J195" s="251"/>
      <c r="K195" s="249"/>
      <c r="L195" s="250"/>
      <c r="M195" s="250"/>
      <c r="N195" s="250"/>
      <c r="O195" s="249"/>
      <c r="P195" s="249"/>
      <c r="Q195" s="250"/>
      <c r="R195" s="252"/>
      <c r="S195" s="15"/>
      <c r="T195" s="15"/>
      <c r="U195" s="15"/>
      <c r="V195" s="15"/>
    </row>
    <row r="196" spans="1:22">
      <c r="A196" s="253"/>
      <c r="B196" s="254"/>
      <c r="C196" s="255"/>
      <c r="D196" s="256"/>
      <c r="E196" s="256"/>
      <c r="F196" s="256"/>
      <c r="G196" s="256"/>
      <c r="H196" s="256"/>
      <c r="I196" s="256"/>
      <c r="J196" s="257"/>
      <c r="K196" s="255"/>
      <c r="L196" s="256"/>
      <c r="M196" s="256"/>
      <c r="N196" s="256"/>
      <c r="O196" s="255"/>
      <c r="P196" s="255"/>
      <c r="Q196" s="256"/>
      <c r="R196" s="258"/>
      <c r="S196" s="15"/>
      <c r="T196" s="15"/>
      <c r="U196" s="15"/>
      <c r="V196" s="15"/>
    </row>
    <row r="197" spans="1:22">
      <c r="A197" s="253"/>
      <c r="B197" s="317"/>
      <c r="C197" s="318"/>
      <c r="D197" s="319"/>
      <c r="E197" s="319"/>
      <c r="F197" s="319"/>
      <c r="G197" s="319"/>
      <c r="H197" s="319"/>
      <c r="I197" s="319"/>
      <c r="J197" s="320"/>
      <c r="K197" s="318"/>
      <c r="L197" s="319"/>
      <c r="M197" s="319"/>
      <c r="N197" s="319"/>
      <c r="O197" s="318"/>
      <c r="P197" s="321"/>
      <c r="Q197" s="319"/>
      <c r="R197" s="322"/>
      <c r="S197" s="15"/>
      <c r="T197" s="15"/>
      <c r="U197" s="15"/>
      <c r="V197" s="15"/>
    </row>
    <row r="198" spans="1:22">
      <c r="A198" s="253"/>
      <c r="B198" s="234"/>
      <c r="C198" s="249"/>
      <c r="D198" s="250"/>
      <c r="E198" s="250"/>
      <c r="F198" s="250"/>
      <c r="G198" s="250"/>
      <c r="H198" s="250"/>
      <c r="I198" s="250"/>
      <c r="J198" s="251"/>
      <c r="K198" s="249"/>
      <c r="L198" s="250"/>
      <c r="M198" s="250"/>
      <c r="N198" s="250"/>
      <c r="O198" s="249"/>
      <c r="P198" s="249"/>
      <c r="Q198" s="250"/>
      <c r="R198" s="252"/>
      <c r="S198" s="15"/>
      <c r="T198" s="15"/>
      <c r="U198" s="15"/>
      <c r="V198" s="15"/>
    </row>
    <row r="199" spans="1:22">
      <c r="A199" s="253"/>
      <c r="B199" s="254"/>
      <c r="C199" s="255"/>
      <c r="D199" s="256"/>
      <c r="E199" s="256"/>
      <c r="F199" s="256"/>
      <c r="G199" s="256"/>
      <c r="H199" s="256"/>
      <c r="I199" s="256"/>
      <c r="J199" s="257"/>
      <c r="K199" s="255"/>
      <c r="L199" s="256"/>
      <c r="M199" s="256"/>
      <c r="N199" s="256"/>
      <c r="O199" s="255"/>
      <c r="P199" s="255"/>
      <c r="Q199" s="256"/>
      <c r="R199" s="258"/>
      <c r="S199" s="15"/>
      <c r="T199" s="15"/>
      <c r="U199" s="15"/>
      <c r="V199" s="15"/>
    </row>
    <row r="200" spans="1:22">
      <c r="A200" s="253"/>
      <c r="B200" s="317"/>
      <c r="C200" s="318"/>
      <c r="D200" s="319"/>
      <c r="E200" s="319"/>
      <c r="F200" s="319"/>
      <c r="G200" s="319"/>
      <c r="H200" s="319"/>
      <c r="I200" s="319"/>
      <c r="J200" s="320"/>
      <c r="K200" s="318"/>
      <c r="L200" s="319"/>
      <c r="M200" s="319"/>
      <c r="N200" s="319"/>
      <c r="O200" s="318"/>
      <c r="P200" s="321"/>
      <c r="Q200" s="319"/>
      <c r="R200" s="322"/>
      <c r="S200" s="15"/>
      <c r="T200" s="15"/>
      <c r="U200" s="15"/>
      <c r="V200" s="15"/>
    </row>
    <row r="201" spans="1:22">
      <c r="A201" s="253"/>
      <c r="B201" s="234"/>
      <c r="C201" s="249"/>
      <c r="D201" s="250"/>
      <c r="E201" s="250"/>
      <c r="F201" s="250"/>
      <c r="G201" s="250"/>
      <c r="H201" s="250"/>
      <c r="I201" s="250"/>
      <c r="J201" s="251"/>
      <c r="K201" s="249"/>
      <c r="L201" s="250"/>
      <c r="M201" s="250"/>
      <c r="N201" s="250"/>
      <c r="O201" s="249"/>
      <c r="P201" s="249"/>
      <c r="Q201" s="250"/>
      <c r="R201" s="252"/>
      <c r="S201" s="15"/>
      <c r="T201" s="15"/>
      <c r="U201" s="15"/>
      <c r="V201" s="15"/>
    </row>
    <row r="202" spans="1:22">
      <c r="A202" s="253"/>
      <c r="B202" s="254"/>
      <c r="C202" s="255"/>
      <c r="D202" s="256"/>
      <c r="E202" s="256"/>
      <c r="F202" s="256"/>
      <c r="G202" s="256"/>
      <c r="H202" s="256"/>
      <c r="I202" s="256"/>
      <c r="J202" s="257"/>
      <c r="K202" s="255"/>
      <c r="L202" s="256"/>
      <c r="M202" s="256"/>
      <c r="N202" s="256"/>
      <c r="O202" s="255"/>
      <c r="P202" s="255"/>
      <c r="Q202" s="256"/>
      <c r="R202" s="258"/>
      <c r="S202" s="15"/>
      <c r="T202" s="15"/>
      <c r="U202" s="15"/>
      <c r="V202" s="15"/>
    </row>
    <row r="203" spans="1:22">
      <c r="A203" s="253"/>
      <c r="B203" s="317"/>
      <c r="C203" s="318"/>
      <c r="D203" s="319"/>
      <c r="E203" s="319"/>
      <c r="F203" s="319"/>
      <c r="G203" s="319"/>
      <c r="H203" s="319"/>
      <c r="I203" s="319"/>
      <c r="J203" s="320"/>
      <c r="K203" s="318"/>
      <c r="L203" s="319"/>
      <c r="M203" s="319"/>
      <c r="N203" s="319"/>
      <c r="O203" s="318"/>
      <c r="P203" s="321"/>
      <c r="Q203" s="319"/>
      <c r="R203" s="322"/>
      <c r="S203" s="15"/>
      <c r="T203" s="15"/>
      <c r="U203" s="15"/>
      <c r="V203" s="15"/>
    </row>
    <row r="204" spans="1:22">
      <c r="A204" s="253"/>
      <c r="B204" s="234"/>
      <c r="C204" s="249"/>
      <c r="D204" s="250"/>
      <c r="E204" s="250"/>
      <c r="F204" s="250"/>
      <c r="G204" s="250"/>
      <c r="H204" s="250"/>
      <c r="I204" s="250"/>
      <c r="J204" s="251"/>
      <c r="K204" s="249"/>
      <c r="L204" s="250"/>
      <c r="M204" s="250"/>
      <c r="N204" s="250"/>
      <c r="O204" s="249"/>
      <c r="P204" s="249"/>
      <c r="Q204" s="250"/>
      <c r="R204" s="252"/>
      <c r="S204" s="15"/>
      <c r="T204" s="15"/>
      <c r="U204" s="15"/>
      <c r="V204" s="15"/>
    </row>
    <row r="205" spans="1:22">
      <c r="A205" s="253"/>
      <c r="B205" s="254"/>
      <c r="C205" s="255"/>
      <c r="D205" s="256"/>
      <c r="E205" s="256"/>
      <c r="F205" s="256"/>
      <c r="G205" s="256"/>
      <c r="H205" s="256"/>
      <c r="I205" s="256"/>
      <c r="J205" s="257"/>
      <c r="K205" s="255"/>
      <c r="L205" s="256"/>
      <c r="M205" s="256"/>
      <c r="N205" s="256"/>
      <c r="O205" s="255"/>
      <c r="P205" s="255"/>
      <c r="Q205" s="256"/>
      <c r="R205" s="258"/>
      <c r="S205" s="15"/>
      <c r="T205" s="15"/>
      <c r="U205" s="15"/>
      <c r="V205" s="15"/>
    </row>
    <row r="206" spans="1:22">
      <c r="A206" s="253"/>
      <c r="B206" s="317"/>
      <c r="C206" s="318"/>
      <c r="D206" s="319"/>
      <c r="E206" s="319"/>
      <c r="F206" s="319"/>
      <c r="G206" s="319"/>
      <c r="H206" s="319"/>
      <c r="I206" s="319"/>
      <c r="J206" s="320"/>
      <c r="K206" s="318"/>
      <c r="L206" s="319"/>
      <c r="M206" s="319"/>
      <c r="N206" s="319"/>
      <c r="O206" s="318"/>
      <c r="P206" s="321"/>
      <c r="Q206" s="319"/>
      <c r="R206" s="322"/>
      <c r="S206" s="15"/>
      <c r="T206" s="15"/>
      <c r="U206" s="15"/>
      <c r="V206" s="15"/>
    </row>
    <row r="207" spans="1:22">
      <c r="A207" s="253"/>
      <c r="B207" s="234"/>
      <c r="C207" s="249"/>
      <c r="D207" s="250"/>
      <c r="E207" s="250"/>
      <c r="F207" s="250"/>
      <c r="G207" s="250"/>
      <c r="H207" s="250"/>
      <c r="I207" s="250"/>
      <c r="J207" s="251"/>
      <c r="K207" s="249"/>
      <c r="L207" s="250"/>
      <c r="M207" s="250"/>
      <c r="N207" s="250"/>
      <c r="O207" s="249"/>
      <c r="P207" s="249"/>
      <c r="Q207" s="250"/>
      <c r="R207" s="252"/>
      <c r="S207" s="15"/>
      <c r="T207" s="15"/>
      <c r="U207" s="15"/>
      <c r="V207" s="15"/>
    </row>
    <row r="208" spans="1:22">
      <c r="A208" s="253"/>
      <c r="B208" s="254"/>
      <c r="C208" s="255"/>
      <c r="D208" s="256"/>
      <c r="E208" s="256"/>
      <c r="F208" s="256"/>
      <c r="G208" s="256"/>
      <c r="H208" s="256"/>
      <c r="I208" s="256"/>
      <c r="J208" s="257"/>
      <c r="K208" s="255"/>
      <c r="L208" s="256"/>
      <c r="M208" s="256"/>
      <c r="N208" s="256"/>
      <c r="O208" s="255"/>
      <c r="P208" s="255"/>
      <c r="Q208" s="256"/>
      <c r="R208" s="258"/>
      <c r="S208" s="15"/>
      <c r="T208" s="15"/>
      <c r="U208" s="15"/>
      <c r="V208" s="15"/>
    </row>
    <row r="209" spans="1:22">
      <c r="A209" s="253"/>
      <c r="B209" s="317"/>
      <c r="C209" s="318"/>
      <c r="D209" s="319"/>
      <c r="E209" s="319"/>
      <c r="F209" s="319"/>
      <c r="G209" s="319"/>
      <c r="H209" s="319"/>
      <c r="I209" s="319"/>
      <c r="J209" s="320"/>
      <c r="K209" s="318"/>
      <c r="L209" s="319"/>
      <c r="M209" s="319"/>
      <c r="N209" s="319"/>
      <c r="O209" s="318"/>
      <c r="P209" s="321"/>
      <c r="Q209" s="319"/>
      <c r="R209" s="322"/>
      <c r="S209" s="15"/>
      <c r="T209" s="15"/>
      <c r="U209" s="15"/>
      <c r="V209" s="15"/>
    </row>
    <row r="210" spans="1:22">
      <c r="A210" s="253"/>
      <c r="B210" s="234"/>
      <c r="C210" s="249"/>
      <c r="D210" s="250"/>
      <c r="E210" s="250"/>
      <c r="F210" s="250"/>
      <c r="G210" s="250"/>
      <c r="H210" s="250"/>
      <c r="I210" s="250"/>
      <c r="J210" s="251"/>
      <c r="K210" s="249"/>
      <c r="L210" s="250"/>
      <c r="M210" s="250"/>
      <c r="N210" s="250"/>
      <c r="O210" s="249"/>
      <c r="P210" s="249"/>
      <c r="Q210" s="250"/>
      <c r="R210" s="252"/>
      <c r="S210" s="15"/>
      <c r="T210" s="15"/>
      <c r="U210" s="15"/>
      <c r="V210" s="15"/>
    </row>
    <row r="211" spans="1:22">
      <c r="A211" s="253"/>
      <c r="B211" s="254"/>
      <c r="C211" s="255"/>
      <c r="D211" s="256"/>
      <c r="E211" s="256"/>
      <c r="F211" s="256"/>
      <c r="G211" s="256"/>
      <c r="H211" s="256"/>
      <c r="I211" s="256"/>
      <c r="J211" s="257"/>
      <c r="K211" s="255"/>
      <c r="L211" s="256"/>
      <c r="M211" s="256"/>
      <c r="N211" s="256"/>
      <c r="O211" s="255"/>
      <c r="P211" s="255"/>
      <c r="Q211" s="256"/>
      <c r="R211" s="258"/>
      <c r="S211" s="15"/>
      <c r="T211" s="15"/>
      <c r="U211" s="15"/>
      <c r="V211" s="15"/>
    </row>
    <row r="212" spans="1:22">
      <c r="A212" s="253"/>
      <c r="B212" s="317"/>
      <c r="C212" s="318"/>
      <c r="D212" s="319"/>
      <c r="E212" s="319"/>
      <c r="F212" s="319"/>
      <c r="G212" s="319"/>
      <c r="H212" s="319"/>
      <c r="I212" s="319"/>
      <c r="J212" s="320"/>
      <c r="K212" s="318"/>
      <c r="L212" s="319"/>
      <c r="M212" s="319"/>
      <c r="N212" s="319"/>
      <c r="O212" s="318"/>
      <c r="P212" s="321"/>
      <c r="Q212" s="319"/>
      <c r="R212" s="322"/>
      <c r="S212" s="15"/>
      <c r="T212" s="15"/>
      <c r="U212" s="15"/>
      <c r="V212" s="15"/>
    </row>
    <row r="213" spans="1:22">
      <c r="A213" s="253"/>
      <c r="B213" s="234"/>
      <c r="C213" s="249"/>
      <c r="D213" s="250"/>
      <c r="E213" s="250"/>
      <c r="F213" s="250"/>
      <c r="G213" s="250"/>
      <c r="H213" s="250"/>
      <c r="I213" s="250"/>
      <c r="J213" s="251"/>
      <c r="K213" s="249"/>
      <c r="L213" s="250"/>
      <c r="M213" s="250"/>
      <c r="N213" s="250"/>
      <c r="O213" s="249"/>
      <c r="P213" s="249"/>
      <c r="Q213" s="250"/>
      <c r="R213" s="252"/>
      <c r="S213" s="15"/>
      <c r="T213" s="15"/>
      <c r="U213" s="15"/>
      <c r="V213" s="15"/>
    </row>
    <row r="214" spans="1:22">
      <c r="A214" s="253"/>
      <c r="B214" s="254"/>
      <c r="C214" s="255"/>
      <c r="D214" s="256"/>
      <c r="E214" s="256"/>
      <c r="F214" s="256"/>
      <c r="G214" s="256"/>
      <c r="H214" s="256"/>
      <c r="I214" s="256"/>
      <c r="J214" s="257"/>
      <c r="K214" s="255"/>
      <c r="L214" s="256"/>
      <c r="M214" s="256"/>
      <c r="N214" s="256"/>
      <c r="O214" s="255"/>
      <c r="P214" s="255"/>
      <c r="Q214" s="256"/>
      <c r="R214" s="258"/>
      <c r="S214" s="15"/>
      <c r="T214" s="15"/>
      <c r="U214" s="15"/>
      <c r="V214" s="15"/>
    </row>
    <row r="215" spans="1:22">
      <c r="A215" s="253"/>
      <c r="B215" s="317"/>
      <c r="C215" s="318"/>
      <c r="D215" s="319"/>
      <c r="E215" s="319"/>
      <c r="F215" s="319"/>
      <c r="G215" s="319"/>
      <c r="H215" s="319"/>
      <c r="I215" s="319"/>
      <c r="J215" s="320"/>
      <c r="K215" s="318"/>
      <c r="L215" s="319"/>
      <c r="M215" s="319"/>
      <c r="N215" s="319"/>
      <c r="O215" s="318"/>
      <c r="P215" s="321"/>
      <c r="Q215" s="319"/>
      <c r="R215" s="322"/>
      <c r="S215" s="15"/>
      <c r="T215" s="15"/>
      <c r="U215" s="15"/>
      <c r="V215" s="15"/>
    </row>
    <row r="216" spans="1:22">
      <c r="A216" s="253"/>
      <c r="B216" s="234"/>
      <c r="C216" s="249"/>
      <c r="D216" s="250"/>
      <c r="E216" s="250"/>
      <c r="F216" s="250"/>
      <c r="G216" s="250"/>
      <c r="H216" s="250"/>
      <c r="I216" s="250"/>
      <c r="J216" s="251"/>
      <c r="K216" s="249"/>
      <c r="L216" s="250"/>
      <c r="M216" s="250"/>
      <c r="N216" s="250"/>
      <c r="O216" s="249"/>
      <c r="P216" s="249"/>
      <c r="Q216" s="250"/>
      <c r="R216" s="252"/>
      <c r="S216" s="15"/>
      <c r="T216" s="15"/>
      <c r="U216" s="15"/>
      <c r="V216" s="15"/>
    </row>
    <row r="217" spans="1:22">
      <c r="A217" s="253"/>
      <c r="B217" s="254"/>
      <c r="C217" s="255"/>
      <c r="D217" s="256"/>
      <c r="E217" s="256"/>
      <c r="F217" s="256"/>
      <c r="G217" s="256"/>
      <c r="H217" s="256"/>
      <c r="I217" s="256"/>
      <c r="J217" s="257"/>
      <c r="K217" s="255"/>
      <c r="L217" s="256"/>
      <c r="M217" s="256"/>
      <c r="N217" s="256"/>
      <c r="O217" s="255"/>
      <c r="P217" s="255"/>
      <c r="Q217" s="256"/>
      <c r="R217" s="258"/>
      <c r="S217" s="15"/>
      <c r="T217" s="15"/>
      <c r="U217" s="15"/>
      <c r="V217" s="15"/>
    </row>
    <row r="218" spans="1:22">
      <c r="A218" s="253"/>
      <c r="B218" s="317"/>
      <c r="C218" s="318"/>
      <c r="D218" s="319"/>
      <c r="E218" s="319"/>
      <c r="F218" s="319"/>
      <c r="G218" s="319"/>
      <c r="H218" s="319"/>
      <c r="I218" s="319"/>
      <c r="J218" s="320"/>
      <c r="K218" s="318"/>
      <c r="L218" s="319"/>
      <c r="M218" s="319"/>
      <c r="N218" s="319"/>
      <c r="O218" s="318"/>
      <c r="P218" s="321"/>
      <c r="Q218" s="319"/>
      <c r="R218" s="322"/>
      <c r="S218" s="15"/>
      <c r="T218" s="15"/>
      <c r="U218" s="15"/>
      <c r="V218" s="15"/>
    </row>
    <row r="219" spans="1:22">
      <c r="A219" s="253"/>
      <c r="B219" s="234"/>
      <c r="C219" s="249"/>
      <c r="D219" s="250"/>
      <c r="E219" s="250"/>
      <c r="F219" s="250"/>
      <c r="G219" s="250"/>
      <c r="H219" s="250"/>
      <c r="I219" s="250"/>
      <c r="J219" s="251"/>
      <c r="K219" s="249"/>
      <c r="L219" s="250"/>
      <c r="M219" s="250"/>
      <c r="N219" s="250"/>
      <c r="O219" s="249"/>
      <c r="P219" s="249"/>
      <c r="Q219" s="250"/>
      <c r="R219" s="252"/>
      <c r="S219" s="15"/>
      <c r="T219" s="15"/>
      <c r="U219" s="15"/>
      <c r="V219" s="15"/>
    </row>
    <row r="220" spans="1:22">
      <c r="A220" s="253"/>
      <c r="B220" s="254"/>
      <c r="C220" s="255"/>
      <c r="D220" s="256"/>
      <c r="E220" s="256"/>
      <c r="F220" s="256"/>
      <c r="G220" s="256"/>
      <c r="H220" s="256"/>
      <c r="I220" s="256"/>
      <c r="J220" s="257"/>
      <c r="K220" s="255"/>
      <c r="L220" s="256"/>
      <c r="M220" s="256"/>
      <c r="N220" s="256"/>
      <c r="O220" s="255"/>
      <c r="P220" s="255"/>
      <c r="Q220" s="256"/>
      <c r="R220" s="258"/>
      <c r="S220" s="15"/>
      <c r="T220" s="15"/>
      <c r="U220" s="15"/>
      <c r="V220" s="15"/>
    </row>
    <row r="221" spans="1:22">
      <c r="A221" s="260"/>
      <c r="B221" s="317"/>
      <c r="C221" s="318"/>
      <c r="D221" s="319"/>
      <c r="E221" s="319"/>
      <c r="F221" s="319"/>
      <c r="G221" s="319"/>
      <c r="H221" s="319"/>
      <c r="I221" s="319"/>
      <c r="J221" s="320"/>
      <c r="K221" s="318"/>
      <c r="L221" s="319"/>
      <c r="M221" s="319"/>
      <c r="N221" s="319"/>
      <c r="O221" s="318"/>
      <c r="P221" s="321"/>
      <c r="Q221" s="319"/>
      <c r="R221" s="322"/>
      <c r="S221" s="15"/>
      <c r="T221" s="15"/>
      <c r="U221" s="15"/>
      <c r="V221" s="15"/>
    </row>
    <row r="222" spans="1:22">
      <c r="A222" s="248"/>
      <c r="B222" s="234"/>
      <c r="C222" s="249"/>
      <c r="D222" s="250"/>
      <c r="E222" s="250"/>
      <c r="F222" s="250"/>
      <c r="G222" s="250"/>
      <c r="H222" s="250"/>
      <c r="I222" s="250"/>
      <c r="J222" s="251"/>
      <c r="K222" s="249"/>
      <c r="L222" s="250"/>
      <c r="M222" s="250"/>
      <c r="N222" s="250"/>
      <c r="O222" s="249"/>
      <c r="P222" s="249"/>
      <c r="Q222" s="250"/>
      <c r="R222" s="252"/>
      <c r="S222" s="15"/>
      <c r="T222" s="15"/>
      <c r="U222" s="15"/>
      <c r="V222" s="15"/>
    </row>
    <row r="223" spans="1:22">
      <c r="A223" s="253"/>
      <c r="B223" s="254"/>
      <c r="C223" s="255"/>
      <c r="D223" s="256"/>
      <c r="E223" s="256"/>
      <c r="F223" s="256"/>
      <c r="G223" s="256"/>
      <c r="H223" s="256"/>
      <c r="I223" s="256"/>
      <c r="J223" s="257"/>
      <c r="K223" s="255"/>
      <c r="L223" s="256"/>
      <c r="M223" s="256"/>
      <c r="N223" s="256"/>
      <c r="O223" s="255"/>
      <c r="P223" s="255"/>
      <c r="Q223" s="256"/>
      <c r="R223" s="258"/>
      <c r="S223" s="15"/>
      <c r="T223" s="15"/>
      <c r="U223" s="15"/>
      <c r="V223" s="15"/>
    </row>
    <row r="224" spans="1:22" s="261" customFormat="1">
      <c r="A224" s="253"/>
      <c r="B224" s="317"/>
      <c r="C224" s="318"/>
      <c r="D224" s="319"/>
      <c r="E224" s="319"/>
      <c r="F224" s="319"/>
      <c r="G224" s="319"/>
      <c r="H224" s="319"/>
      <c r="I224" s="319"/>
      <c r="J224" s="320"/>
      <c r="K224" s="318"/>
      <c r="L224" s="319"/>
      <c r="M224" s="319"/>
      <c r="N224" s="319"/>
      <c r="O224" s="318"/>
      <c r="P224" s="321"/>
      <c r="Q224" s="319"/>
      <c r="R224" s="322"/>
      <c r="S224" s="15"/>
      <c r="T224" s="15"/>
      <c r="U224" s="15"/>
      <c r="V224" s="15"/>
    </row>
    <row r="225" spans="1:22">
      <c r="A225" s="253"/>
      <c r="B225" s="234"/>
      <c r="C225" s="249"/>
      <c r="D225" s="250"/>
      <c r="E225" s="250"/>
      <c r="F225" s="250"/>
      <c r="G225" s="250"/>
      <c r="H225" s="250"/>
      <c r="I225" s="250"/>
      <c r="J225" s="251"/>
      <c r="K225" s="249"/>
      <c r="L225" s="250"/>
      <c r="M225" s="250"/>
      <c r="N225" s="250"/>
      <c r="O225" s="249"/>
      <c r="P225" s="249"/>
      <c r="Q225" s="250"/>
      <c r="R225" s="252"/>
      <c r="S225" s="15"/>
      <c r="T225" s="15"/>
      <c r="U225" s="15"/>
      <c r="V225" s="15"/>
    </row>
    <row r="226" spans="1:22">
      <c r="A226" s="253"/>
      <c r="B226" s="254"/>
      <c r="C226" s="255"/>
      <c r="D226" s="256"/>
      <c r="E226" s="256"/>
      <c r="F226" s="256"/>
      <c r="G226" s="256"/>
      <c r="H226" s="256"/>
      <c r="I226" s="256"/>
      <c r="J226" s="257"/>
      <c r="K226" s="255"/>
      <c r="L226" s="256"/>
      <c r="M226" s="256"/>
      <c r="N226" s="256"/>
      <c r="O226" s="255"/>
      <c r="P226" s="255"/>
      <c r="Q226" s="256"/>
      <c r="R226" s="258"/>
      <c r="S226" s="15"/>
      <c r="T226" s="15"/>
      <c r="U226" s="15"/>
      <c r="V226" s="15"/>
    </row>
    <row r="227" spans="1:22" s="261" customFormat="1">
      <c r="A227" s="253"/>
      <c r="B227" s="317"/>
      <c r="C227" s="318"/>
      <c r="D227" s="319"/>
      <c r="E227" s="319"/>
      <c r="F227" s="319"/>
      <c r="G227" s="319"/>
      <c r="H227" s="319"/>
      <c r="I227" s="319"/>
      <c r="J227" s="320"/>
      <c r="K227" s="318"/>
      <c r="L227" s="319"/>
      <c r="M227" s="319"/>
      <c r="N227" s="319"/>
      <c r="O227" s="318"/>
      <c r="P227" s="321"/>
      <c r="Q227" s="319"/>
      <c r="R227" s="322"/>
      <c r="S227" s="15"/>
      <c r="T227" s="15"/>
      <c r="U227" s="15"/>
      <c r="V227" s="15"/>
    </row>
    <row r="228" spans="1:22">
      <c r="A228" s="253"/>
      <c r="B228" s="234"/>
      <c r="C228" s="249"/>
      <c r="D228" s="250"/>
      <c r="E228" s="250"/>
      <c r="F228" s="250"/>
      <c r="G228" s="250"/>
      <c r="H228" s="250"/>
      <c r="I228" s="250"/>
      <c r="J228" s="251"/>
      <c r="K228" s="249"/>
      <c r="L228" s="250"/>
      <c r="M228" s="250"/>
      <c r="N228" s="250"/>
      <c r="O228" s="249"/>
      <c r="P228" s="249"/>
      <c r="Q228" s="250"/>
      <c r="R228" s="252"/>
      <c r="S228" s="15"/>
      <c r="T228" s="15"/>
      <c r="U228" s="15"/>
      <c r="V228" s="15"/>
    </row>
    <row r="229" spans="1:22">
      <c r="A229" s="253"/>
      <c r="B229" s="254"/>
      <c r="C229" s="255"/>
      <c r="D229" s="256"/>
      <c r="E229" s="256"/>
      <c r="F229" s="256"/>
      <c r="G229" s="256"/>
      <c r="H229" s="256"/>
      <c r="I229" s="256"/>
      <c r="J229" s="257"/>
      <c r="K229" s="255"/>
      <c r="L229" s="256"/>
      <c r="M229" s="256"/>
      <c r="N229" s="256"/>
      <c r="O229" s="255"/>
      <c r="P229" s="255"/>
      <c r="Q229" s="256"/>
      <c r="R229" s="258"/>
      <c r="S229" s="15"/>
      <c r="T229" s="15"/>
      <c r="U229" s="15"/>
      <c r="V229" s="15"/>
    </row>
    <row r="230" spans="1:22" s="261" customFormat="1">
      <c r="A230" s="253"/>
      <c r="B230" s="317"/>
      <c r="C230" s="318"/>
      <c r="D230" s="319"/>
      <c r="E230" s="319"/>
      <c r="F230" s="319"/>
      <c r="G230" s="319"/>
      <c r="H230" s="319"/>
      <c r="I230" s="319"/>
      <c r="J230" s="320"/>
      <c r="K230" s="318"/>
      <c r="L230" s="319"/>
      <c r="M230" s="319"/>
      <c r="N230" s="319"/>
      <c r="O230" s="318"/>
      <c r="P230" s="321"/>
      <c r="Q230" s="319"/>
      <c r="R230" s="322"/>
      <c r="S230" s="15"/>
      <c r="T230" s="15"/>
      <c r="U230" s="15"/>
      <c r="V230" s="15"/>
    </row>
    <row r="231" spans="1:22">
      <c r="A231" s="253"/>
      <c r="B231" s="234"/>
      <c r="C231" s="249"/>
      <c r="D231" s="250"/>
      <c r="E231" s="250"/>
      <c r="F231" s="250"/>
      <c r="G231" s="250"/>
      <c r="H231" s="250"/>
      <c r="I231" s="250"/>
      <c r="J231" s="251"/>
      <c r="K231" s="249"/>
      <c r="L231" s="250"/>
      <c r="M231" s="250"/>
      <c r="N231" s="250"/>
      <c r="O231" s="249"/>
      <c r="P231" s="249"/>
      <c r="Q231" s="250"/>
      <c r="R231" s="252"/>
      <c r="S231" s="15"/>
      <c r="T231" s="15"/>
      <c r="U231" s="15"/>
      <c r="V231" s="15"/>
    </row>
    <row r="232" spans="1:22">
      <c r="A232" s="253"/>
      <c r="B232" s="254"/>
      <c r="C232" s="255"/>
      <c r="D232" s="256"/>
      <c r="E232" s="256"/>
      <c r="F232" s="256"/>
      <c r="G232" s="256"/>
      <c r="H232" s="256"/>
      <c r="I232" s="256"/>
      <c r="J232" s="257"/>
      <c r="K232" s="255"/>
      <c r="L232" s="256"/>
      <c r="M232" s="256"/>
      <c r="N232" s="256"/>
      <c r="O232" s="255"/>
      <c r="P232" s="255"/>
      <c r="Q232" s="256"/>
      <c r="R232" s="258"/>
      <c r="S232" s="15"/>
      <c r="T232" s="15"/>
      <c r="U232" s="15"/>
      <c r="V232" s="15"/>
    </row>
    <row r="233" spans="1:22" s="261" customFormat="1">
      <c r="A233" s="253"/>
      <c r="B233" s="317"/>
      <c r="C233" s="318"/>
      <c r="D233" s="319"/>
      <c r="E233" s="319"/>
      <c r="F233" s="319"/>
      <c r="G233" s="319"/>
      <c r="H233" s="319"/>
      <c r="I233" s="319"/>
      <c r="J233" s="320"/>
      <c r="K233" s="318"/>
      <c r="L233" s="319"/>
      <c r="M233" s="319"/>
      <c r="N233" s="319"/>
      <c r="O233" s="318"/>
      <c r="P233" s="321"/>
      <c r="Q233" s="319"/>
      <c r="R233" s="322"/>
      <c r="S233" s="15"/>
      <c r="T233" s="15"/>
      <c r="U233" s="15"/>
      <c r="V233" s="15"/>
    </row>
    <row r="234" spans="1:22">
      <c r="A234" s="253"/>
      <c r="B234" s="234"/>
      <c r="C234" s="249"/>
      <c r="D234" s="250"/>
      <c r="E234" s="250"/>
      <c r="F234" s="250"/>
      <c r="G234" s="250"/>
      <c r="H234" s="250"/>
      <c r="I234" s="250"/>
      <c r="J234" s="251"/>
      <c r="K234" s="249"/>
      <c r="L234" s="250"/>
      <c r="M234" s="250"/>
      <c r="N234" s="250"/>
      <c r="O234" s="249"/>
      <c r="P234" s="249"/>
      <c r="Q234" s="250"/>
      <c r="R234" s="252"/>
      <c r="S234" s="15"/>
      <c r="T234" s="15"/>
      <c r="U234" s="15"/>
      <c r="V234" s="15"/>
    </row>
    <row r="235" spans="1:22">
      <c r="A235" s="253"/>
      <c r="B235" s="254"/>
      <c r="C235" s="255"/>
      <c r="D235" s="256"/>
      <c r="E235" s="256"/>
      <c r="F235" s="256"/>
      <c r="G235" s="256"/>
      <c r="H235" s="256"/>
      <c r="I235" s="256"/>
      <c r="J235" s="257"/>
      <c r="K235" s="255"/>
      <c r="L235" s="256"/>
      <c r="M235" s="256"/>
      <c r="N235" s="256"/>
      <c r="O235" s="255"/>
      <c r="P235" s="255"/>
      <c r="Q235" s="256"/>
      <c r="R235" s="258"/>
      <c r="S235" s="15"/>
      <c r="T235" s="15"/>
      <c r="U235" s="15"/>
      <c r="V235" s="15"/>
    </row>
    <row r="236" spans="1:22" s="261" customFormat="1">
      <c r="A236" s="253"/>
      <c r="B236" s="317"/>
      <c r="C236" s="318"/>
      <c r="D236" s="319"/>
      <c r="E236" s="319"/>
      <c r="F236" s="319"/>
      <c r="G236" s="319"/>
      <c r="H236" s="319"/>
      <c r="I236" s="319"/>
      <c r="J236" s="320"/>
      <c r="K236" s="318"/>
      <c r="L236" s="319"/>
      <c r="M236" s="319"/>
      <c r="N236" s="319"/>
      <c r="O236" s="318"/>
      <c r="P236" s="321"/>
      <c r="Q236" s="319"/>
      <c r="R236" s="322"/>
      <c r="S236" s="15"/>
      <c r="T236" s="15"/>
      <c r="U236" s="15"/>
      <c r="V236" s="15"/>
    </row>
    <row r="237" spans="1:22">
      <c r="A237" s="253"/>
      <c r="B237" s="234"/>
      <c r="C237" s="249"/>
      <c r="D237" s="250"/>
      <c r="E237" s="250"/>
      <c r="F237" s="250"/>
      <c r="G237" s="250"/>
      <c r="H237" s="250"/>
      <c r="I237" s="250"/>
      <c r="J237" s="251"/>
      <c r="K237" s="249"/>
      <c r="L237" s="250"/>
      <c r="M237" s="250"/>
      <c r="N237" s="250"/>
      <c r="O237" s="249"/>
      <c r="P237" s="249"/>
      <c r="Q237" s="250"/>
      <c r="R237" s="252"/>
      <c r="S237" s="15"/>
      <c r="T237" s="15"/>
      <c r="U237" s="15"/>
      <c r="V237" s="15"/>
    </row>
    <row r="238" spans="1:22">
      <c r="A238" s="253"/>
      <c r="B238" s="254"/>
      <c r="C238" s="255"/>
      <c r="D238" s="256"/>
      <c r="E238" s="256"/>
      <c r="F238" s="256"/>
      <c r="G238" s="256"/>
      <c r="H238" s="256"/>
      <c r="I238" s="256"/>
      <c r="J238" s="257"/>
      <c r="K238" s="255"/>
      <c r="L238" s="256"/>
      <c r="M238" s="256"/>
      <c r="N238" s="256"/>
      <c r="O238" s="255"/>
      <c r="P238" s="255"/>
      <c r="Q238" s="256"/>
      <c r="R238" s="258"/>
      <c r="S238" s="15"/>
      <c r="T238" s="15"/>
      <c r="U238" s="15"/>
      <c r="V238" s="15"/>
    </row>
    <row r="239" spans="1:22" s="261" customFormat="1">
      <c r="A239" s="253"/>
      <c r="B239" s="317"/>
      <c r="C239" s="318"/>
      <c r="D239" s="319"/>
      <c r="E239" s="319"/>
      <c r="F239" s="319"/>
      <c r="G239" s="319"/>
      <c r="H239" s="319"/>
      <c r="I239" s="319"/>
      <c r="J239" s="320"/>
      <c r="K239" s="318"/>
      <c r="L239" s="319"/>
      <c r="M239" s="319"/>
      <c r="N239" s="319"/>
      <c r="O239" s="318"/>
      <c r="P239" s="321"/>
      <c r="Q239" s="319"/>
      <c r="R239" s="322"/>
      <c r="S239" s="15"/>
      <c r="T239" s="15"/>
      <c r="U239" s="15"/>
      <c r="V239" s="15"/>
    </row>
    <row r="240" spans="1:22">
      <c r="A240" s="253"/>
      <c r="B240" s="234"/>
      <c r="C240" s="249"/>
      <c r="D240" s="250"/>
      <c r="E240" s="250"/>
      <c r="F240" s="250"/>
      <c r="G240" s="250"/>
      <c r="H240" s="250"/>
      <c r="I240" s="250"/>
      <c r="J240" s="251"/>
      <c r="K240" s="249"/>
      <c r="L240" s="250"/>
      <c r="M240" s="250"/>
      <c r="N240" s="250"/>
      <c r="O240" s="249"/>
      <c r="P240" s="249"/>
      <c r="Q240" s="250"/>
      <c r="R240" s="252"/>
      <c r="S240" s="15"/>
      <c r="T240" s="15"/>
      <c r="U240" s="15"/>
      <c r="V240" s="15"/>
    </row>
    <row r="241" spans="1:22">
      <c r="A241" s="253"/>
      <c r="B241" s="254"/>
      <c r="C241" s="255"/>
      <c r="D241" s="256"/>
      <c r="E241" s="256"/>
      <c r="F241" s="256"/>
      <c r="G241" s="256"/>
      <c r="H241" s="256"/>
      <c r="I241" s="256"/>
      <c r="J241" s="257"/>
      <c r="K241" s="255"/>
      <c r="L241" s="256"/>
      <c r="M241" s="256"/>
      <c r="N241" s="256"/>
      <c r="O241" s="255"/>
      <c r="P241" s="255"/>
      <c r="Q241" s="256"/>
      <c r="R241" s="258"/>
      <c r="S241" s="15"/>
      <c r="T241" s="15"/>
      <c r="U241" s="15"/>
      <c r="V241" s="15"/>
    </row>
    <row r="242" spans="1:22" s="261" customFormat="1">
      <c r="A242" s="253"/>
      <c r="B242" s="317"/>
      <c r="C242" s="318"/>
      <c r="D242" s="319"/>
      <c r="E242" s="319"/>
      <c r="F242" s="319"/>
      <c r="G242" s="319"/>
      <c r="H242" s="319"/>
      <c r="I242" s="319"/>
      <c r="J242" s="320"/>
      <c r="K242" s="318"/>
      <c r="L242" s="319"/>
      <c r="M242" s="319"/>
      <c r="N242" s="319"/>
      <c r="O242" s="318"/>
      <c r="P242" s="321"/>
      <c r="Q242" s="319"/>
      <c r="R242" s="322"/>
      <c r="S242" s="15"/>
      <c r="T242" s="15"/>
      <c r="U242" s="15"/>
      <c r="V242" s="15"/>
    </row>
    <row r="243" spans="1:22">
      <c r="A243" s="253"/>
      <c r="B243" s="234"/>
      <c r="C243" s="249"/>
      <c r="D243" s="250"/>
      <c r="E243" s="250"/>
      <c r="F243" s="250"/>
      <c r="G243" s="250"/>
      <c r="H243" s="250"/>
      <c r="I243" s="250"/>
      <c r="J243" s="251"/>
      <c r="K243" s="249"/>
      <c r="L243" s="250"/>
      <c r="M243" s="250"/>
      <c r="N243" s="250"/>
      <c r="O243" s="249"/>
      <c r="P243" s="249"/>
      <c r="Q243" s="250"/>
      <c r="R243" s="252"/>
      <c r="S243" s="15"/>
      <c r="T243" s="15"/>
      <c r="U243" s="15"/>
      <c r="V243" s="15"/>
    </row>
    <row r="244" spans="1:22">
      <c r="A244" s="253"/>
      <c r="B244" s="254"/>
      <c r="C244" s="255"/>
      <c r="D244" s="256"/>
      <c r="E244" s="256"/>
      <c r="F244" s="256"/>
      <c r="G244" s="256"/>
      <c r="H244" s="256"/>
      <c r="I244" s="256"/>
      <c r="J244" s="257"/>
      <c r="K244" s="255"/>
      <c r="L244" s="256"/>
      <c r="M244" s="256"/>
      <c r="N244" s="256"/>
      <c r="O244" s="255"/>
      <c r="P244" s="255"/>
      <c r="Q244" s="256"/>
      <c r="R244" s="258"/>
      <c r="S244" s="15"/>
      <c r="T244" s="15"/>
      <c r="U244" s="15"/>
      <c r="V244" s="15"/>
    </row>
    <row r="245" spans="1:22" s="261" customFormat="1">
      <c r="A245" s="253"/>
      <c r="B245" s="317"/>
      <c r="C245" s="318"/>
      <c r="D245" s="319"/>
      <c r="E245" s="319"/>
      <c r="F245" s="319"/>
      <c r="G245" s="319"/>
      <c r="H245" s="319"/>
      <c r="I245" s="319"/>
      <c r="J245" s="320"/>
      <c r="K245" s="318"/>
      <c r="L245" s="319"/>
      <c r="M245" s="319"/>
      <c r="N245" s="319"/>
      <c r="O245" s="318"/>
      <c r="P245" s="321"/>
      <c r="Q245" s="319"/>
      <c r="R245" s="322"/>
      <c r="S245" s="15"/>
      <c r="T245" s="15"/>
      <c r="U245" s="15"/>
      <c r="V245" s="15"/>
    </row>
    <row r="246" spans="1:22">
      <c r="A246" s="253"/>
      <c r="B246" s="234"/>
      <c r="C246" s="249"/>
      <c r="D246" s="250"/>
      <c r="E246" s="250"/>
      <c r="F246" s="250"/>
      <c r="G246" s="250"/>
      <c r="H246" s="250"/>
      <c r="I246" s="250"/>
      <c r="J246" s="251"/>
      <c r="K246" s="249"/>
      <c r="L246" s="250"/>
      <c r="M246" s="250"/>
      <c r="N246" s="250"/>
      <c r="O246" s="249"/>
      <c r="P246" s="249"/>
      <c r="Q246" s="250"/>
      <c r="R246" s="252"/>
      <c r="S246" s="15"/>
      <c r="T246" s="15"/>
      <c r="U246" s="15"/>
      <c r="V246" s="15"/>
    </row>
    <row r="247" spans="1:22">
      <c r="A247" s="253"/>
      <c r="B247" s="254"/>
      <c r="C247" s="255"/>
      <c r="D247" s="256"/>
      <c r="E247" s="256"/>
      <c r="F247" s="256"/>
      <c r="G247" s="256"/>
      <c r="H247" s="256"/>
      <c r="I247" s="256"/>
      <c r="J247" s="257"/>
      <c r="K247" s="255"/>
      <c r="L247" s="256"/>
      <c r="M247" s="256"/>
      <c r="N247" s="256"/>
      <c r="O247" s="255"/>
      <c r="P247" s="255"/>
      <c r="Q247" s="256"/>
      <c r="R247" s="258"/>
      <c r="S247" s="15"/>
      <c r="T247" s="15"/>
      <c r="U247" s="15"/>
      <c r="V247" s="15"/>
    </row>
    <row r="248" spans="1:22" s="261" customFormat="1">
      <c r="A248" s="253"/>
      <c r="B248" s="317"/>
      <c r="C248" s="318"/>
      <c r="D248" s="319"/>
      <c r="E248" s="319"/>
      <c r="F248" s="319"/>
      <c r="G248" s="319"/>
      <c r="H248" s="319"/>
      <c r="I248" s="319"/>
      <c r="J248" s="320"/>
      <c r="K248" s="318"/>
      <c r="L248" s="319"/>
      <c r="M248" s="319"/>
      <c r="N248" s="319"/>
      <c r="O248" s="318"/>
      <c r="P248" s="321"/>
      <c r="Q248" s="319"/>
      <c r="R248" s="322"/>
      <c r="S248" s="15"/>
      <c r="T248" s="15"/>
      <c r="U248" s="15"/>
      <c r="V248" s="15"/>
    </row>
    <row r="249" spans="1:22">
      <c r="A249" s="253"/>
      <c r="B249" s="234"/>
      <c r="C249" s="249"/>
      <c r="D249" s="250"/>
      <c r="E249" s="250"/>
      <c r="F249" s="250"/>
      <c r="G249" s="250"/>
      <c r="H249" s="250"/>
      <c r="I249" s="250"/>
      <c r="J249" s="251"/>
      <c r="K249" s="249"/>
      <c r="L249" s="250"/>
      <c r="M249" s="250"/>
      <c r="N249" s="250"/>
      <c r="O249" s="249"/>
      <c r="P249" s="249"/>
      <c r="Q249" s="250"/>
      <c r="R249" s="252"/>
      <c r="S249" s="15"/>
      <c r="T249" s="15"/>
      <c r="U249" s="15"/>
      <c r="V249" s="15"/>
    </row>
    <row r="250" spans="1:22">
      <c r="A250" s="253"/>
      <c r="B250" s="254"/>
      <c r="C250" s="255"/>
      <c r="D250" s="256"/>
      <c r="E250" s="256"/>
      <c r="F250" s="256"/>
      <c r="G250" s="256"/>
      <c r="H250" s="256"/>
      <c r="I250" s="256"/>
      <c r="J250" s="257"/>
      <c r="K250" s="255"/>
      <c r="L250" s="256"/>
      <c r="M250" s="256"/>
      <c r="N250" s="256"/>
      <c r="O250" s="255"/>
      <c r="P250" s="255"/>
      <c r="Q250" s="256"/>
      <c r="R250" s="258"/>
      <c r="S250" s="15"/>
      <c r="T250" s="15"/>
      <c r="U250" s="15"/>
      <c r="V250" s="15"/>
    </row>
    <row r="251" spans="1:22" s="261" customFormat="1">
      <c r="A251" s="253"/>
      <c r="B251" s="317"/>
      <c r="C251" s="318"/>
      <c r="D251" s="319"/>
      <c r="E251" s="319"/>
      <c r="F251" s="319"/>
      <c r="G251" s="319"/>
      <c r="H251" s="319"/>
      <c r="I251" s="319"/>
      <c r="J251" s="320"/>
      <c r="K251" s="318"/>
      <c r="L251" s="319"/>
      <c r="M251" s="319"/>
      <c r="N251" s="319"/>
      <c r="O251" s="318"/>
      <c r="P251" s="321"/>
      <c r="Q251" s="319"/>
      <c r="R251" s="322"/>
      <c r="S251" s="15"/>
      <c r="T251" s="15"/>
      <c r="U251" s="15"/>
      <c r="V251" s="15"/>
    </row>
    <row r="252" spans="1:22">
      <c r="A252" s="253"/>
      <c r="B252" s="234"/>
      <c r="C252" s="249"/>
      <c r="D252" s="250"/>
      <c r="E252" s="250"/>
      <c r="F252" s="250"/>
      <c r="G252" s="250"/>
      <c r="H252" s="250"/>
      <c r="I252" s="250"/>
      <c r="J252" s="251"/>
      <c r="K252" s="249"/>
      <c r="L252" s="250"/>
      <c r="M252" s="250"/>
      <c r="N252" s="250"/>
      <c r="O252" s="249"/>
      <c r="P252" s="249"/>
      <c r="Q252" s="250"/>
      <c r="R252" s="252"/>
      <c r="S252" s="15"/>
      <c r="T252" s="15"/>
      <c r="U252" s="15"/>
      <c r="V252" s="15"/>
    </row>
    <row r="253" spans="1:22">
      <c r="A253" s="253"/>
      <c r="B253" s="254"/>
      <c r="C253" s="255"/>
      <c r="D253" s="256"/>
      <c r="E253" s="256"/>
      <c r="F253" s="256"/>
      <c r="G253" s="256"/>
      <c r="H253" s="256"/>
      <c r="I253" s="256"/>
      <c r="J253" s="257"/>
      <c r="K253" s="255"/>
      <c r="L253" s="256"/>
      <c r="M253" s="256"/>
      <c r="N253" s="256"/>
      <c r="O253" s="255"/>
      <c r="P253" s="255"/>
      <c r="Q253" s="256"/>
      <c r="R253" s="258"/>
      <c r="S253" s="15"/>
      <c r="T253" s="15"/>
      <c r="U253" s="15"/>
      <c r="V253" s="15"/>
    </row>
    <row r="254" spans="1:22" s="261" customFormat="1">
      <c r="A254" s="253"/>
      <c r="B254" s="317"/>
      <c r="C254" s="318"/>
      <c r="D254" s="319"/>
      <c r="E254" s="319"/>
      <c r="F254" s="319"/>
      <c r="G254" s="319"/>
      <c r="H254" s="319"/>
      <c r="I254" s="319"/>
      <c r="J254" s="320"/>
      <c r="K254" s="318"/>
      <c r="L254" s="319"/>
      <c r="M254" s="319"/>
      <c r="N254" s="319"/>
      <c r="O254" s="318"/>
      <c r="P254" s="321"/>
      <c r="Q254" s="319"/>
      <c r="R254" s="322"/>
      <c r="S254" s="15"/>
      <c r="T254" s="15"/>
      <c r="U254" s="15"/>
      <c r="V254" s="15"/>
    </row>
    <row r="255" spans="1:22">
      <c r="A255" s="253"/>
      <c r="B255" s="234"/>
      <c r="C255" s="249"/>
      <c r="D255" s="250"/>
      <c r="E255" s="250"/>
      <c r="F255" s="250"/>
      <c r="G255" s="250"/>
      <c r="H255" s="250"/>
      <c r="I255" s="250"/>
      <c r="J255" s="251"/>
      <c r="K255" s="249"/>
      <c r="L255" s="250"/>
      <c r="M255" s="250"/>
      <c r="N255" s="250"/>
      <c r="O255" s="249"/>
      <c r="P255" s="249"/>
      <c r="Q255" s="250"/>
      <c r="R255" s="252"/>
      <c r="S255" s="15"/>
      <c r="T255" s="15"/>
      <c r="U255" s="15"/>
      <c r="V255" s="15"/>
    </row>
    <row r="256" spans="1:22">
      <c r="A256" s="253"/>
      <c r="B256" s="254"/>
      <c r="C256" s="255"/>
      <c r="D256" s="256"/>
      <c r="E256" s="256"/>
      <c r="F256" s="256"/>
      <c r="G256" s="256"/>
      <c r="H256" s="256"/>
      <c r="I256" s="256"/>
      <c r="J256" s="257"/>
      <c r="K256" s="255"/>
      <c r="L256" s="256"/>
      <c r="M256" s="256"/>
      <c r="N256" s="256"/>
      <c r="O256" s="255"/>
      <c r="P256" s="255"/>
      <c r="Q256" s="256"/>
      <c r="R256" s="258"/>
      <c r="S256" s="15"/>
      <c r="T256" s="15"/>
      <c r="U256" s="15"/>
      <c r="V256" s="15"/>
    </row>
    <row r="257" spans="1:22" s="261" customFormat="1">
      <c r="A257" s="260"/>
      <c r="B257" s="317"/>
      <c r="C257" s="318"/>
      <c r="D257" s="319"/>
      <c r="E257" s="319"/>
      <c r="F257" s="319"/>
      <c r="G257" s="319"/>
      <c r="H257" s="319"/>
      <c r="I257" s="319"/>
      <c r="J257" s="320"/>
      <c r="K257" s="318"/>
      <c r="L257" s="319"/>
      <c r="M257" s="319"/>
      <c r="N257" s="319"/>
      <c r="O257" s="318"/>
      <c r="P257" s="321"/>
      <c r="Q257" s="319"/>
      <c r="R257" s="322"/>
      <c r="S257" s="15"/>
      <c r="T257" s="15"/>
      <c r="U257" s="15"/>
      <c r="V257" s="15"/>
    </row>
    <row r="258" spans="1:22">
      <c r="A258" s="248"/>
      <c r="B258" s="234"/>
      <c r="C258" s="249"/>
      <c r="D258" s="250"/>
      <c r="E258" s="250"/>
      <c r="F258" s="250"/>
      <c r="G258" s="250"/>
      <c r="H258" s="250"/>
      <c r="I258" s="250"/>
      <c r="J258" s="251"/>
      <c r="K258" s="249"/>
      <c r="L258" s="250"/>
      <c r="M258" s="250"/>
      <c r="N258" s="250"/>
      <c r="O258" s="249"/>
      <c r="P258" s="249"/>
      <c r="Q258" s="250"/>
      <c r="R258" s="252"/>
      <c r="S258" s="15"/>
      <c r="T258" s="15"/>
      <c r="U258" s="15"/>
      <c r="V258" s="15"/>
    </row>
    <row r="259" spans="1:22">
      <c r="A259" s="253"/>
      <c r="B259" s="254"/>
      <c r="C259" s="255"/>
      <c r="D259" s="256"/>
      <c r="E259" s="256"/>
      <c r="F259" s="256"/>
      <c r="G259" s="256"/>
      <c r="H259" s="256"/>
      <c r="I259" s="256"/>
      <c r="J259" s="257"/>
      <c r="K259" s="255"/>
      <c r="L259" s="256"/>
      <c r="M259" s="256"/>
      <c r="N259" s="256"/>
      <c r="O259" s="255"/>
      <c r="P259" s="255"/>
      <c r="Q259" s="256"/>
      <c r="R259" s="258"/>
      <c r="S259" s="15"/>
      <c r="T259" s="15"/>
      <c r="U259" s="15"/>
      <c r="V259" s="15"/>
    </row>
    <row r="260" spans="1:22" s="261" customFormat="1">
      <c r="A260" s="253"/>
      <c r="B260" s="317"/>
      <c r="C260" s="318"/>
      <c r="D260" s="319"/>
      <c r="E260" s="319"/>
      <c r="F260" s="319"/>
      <c r="G260" s="319"/>
      <c r="H260" s="319"/>
      <c r="I260" s="319"/>
      <c r="J260" s="320"/>
      <c r="K260" s="318"/>
      <c r="L260" s="319"/>
      <c r="M260" s="319"/>
      <c r="N260" s="319"/>
      <c r="O260" s="318"/>
      <c r="P260" s="321"/>
      <c r="Q260" s="319"/>
      <c r="R260" s="322"/>
      <c r="S260" s="15"/>
      <c r="T260" s="15"/>
      <c r="U260" s="15"/>
      <c r="V260" s="15"/>
    </row>
    <row r="261" spans="1:22">
      <c r="A261" s="253"/>
      <c r="B261" s="234"/>
      <c r="C261" s="249"/>
      <c r="D261" s="250"/>
      <c r="E261" s="250"/>
      <c r="F261" s="250"/>
      <c r="G261" s="250"/>
      <c r="H261" s="250"/>
      <c r="I261" s="250"/>
      <c r="J261" s="251"/>
      <c r="K261" s="249"/>
      <c r="L261" s="250"/>
      <c r="M261" s="250"/>
      <c r="N261" s="250"/>
      <c r="O261" s="249"/>
      <c r="P261" s="249"/>
      <c r="Q261" s="250"/>
      <c r="R261" s="252"/>
      <c r="S261" s="15"/>
      <c r="T261" s="15"/>
      <c r="U261" s="15"/>
      <c r="V261" s="15"/>
    </row>
    <row r="262" spans="1:22">
      <c r="A262" s="253"/>
      <c r="B262" s="254"/>
      <c r="C262" s="255"/>
      <c r="D262" s="256"/>
      <c r="E262" s="256"/>
      <c r="F262" s="256"/>
      <c r="G262" s="256"/>
      <c r="H262" s="256"/>
      <c r="I262" s="256"/>
      <c r="J262" s="257"/>
      <c r="K262" s="255"/>
      <c r="L262" s="256"/>
      <c r="M262" s="256"/>
      <c r="N262" s="256"/>
      <c r="O262" s="255"/>
      <c r="P262" s="255"/>
      <c r="Q262" s="256"/>
      <c r="R262" s="258"/>
      <c r="S262" s="15"/>
      <c r="T262" s="15"/>
      <c r="U262" s="15"/>
      <c r="V262" s="15"/>
    </row>
    <row r="263" spans="1:22" s="261" customFormat="1">
      <c r="A263" s="253"/>
      <c r="B263" s="317"/>
      <c r="C263" s="318"/>
      <c r="D263" s="319"/>
      <c r="E263" s="319"/>
      <c r="F263" s="319"/>
      <c r="G263" s="319"/>
      <c r="H263" s="319"/>
      <c r="I263" s="331"/>
      <c r="J263" s="320"/>
      <c r="K263" s="318"/>
      <c r="L263" s="319"/>
      <c r="M263" s="319"/>
      <c r="N263" s="319"/>
      <c r="O263" s="318"/>
      <c r="P263" s="321"/>
      <c r="Q263" s="319"/>
      <c r="R263" s="322"/>
      <c r="S263" s="15"/>
      <c r="T263" s="15"/>
      <c r="U263" s="15"/>
      <c r="V263" s="15"/>
    </row>
    <row r="264" spans="1:22">
      <c r="A264" s="253"/>
      <c r="B264" s="234"/>
      <c r="C264" s="249"/>
      <c r="D264" s="250"/>
      <c r="E264" s="250"/>
      <c r="F264" s="250"/>
      <c r="G264" s="250"/>
      <c r="H264" s="250"/>
      <c r="I264" s="250"/>
      <c r="J264" s="251"/>
      <c r="K264" s="249"/>
      <c r="L264" s="250"/>
      <c r="M264" s="250"/>
      <c r="N264" s="250"/>
      <c r="O264" s="249"/>
      <c r="P264" s="249"/>
      <c r="Q264" s="250"/>
      <c r="R264" s="252"/>
      <c r="S264" s="15"/>
      <c r="T264" s="15"/>
      <c r="U264" s="15"/>
      <c r="V264" s="15"/>
    </row>
    <row r="265" spans="1:22">
      <c r="A265" s="253"/>
      <c r="B265" s="254"/>
      <c r="C265" s="255"/>
      <c r="D265" s="256"/>
      <c r="E265" s="256"/>
      <c r="F265" s="256"/>
      <c r="G265" s="256"/>
      <c r="H265" s="256"/>
      <c r="I265" s="256"/>
      <c r="J265" s="257"/>
      <c r="K265" s="255"/>
      <c r="L265" s="256"/>
      <c r="M265" s="256"/>
      <c r="N265" s="256"/>
      <c r="O265" s="255"/>
      <c r="P265" s="255"/>
      <c r="Q265" s="256"/>
      <c r="R265" s="258"/>
      <c r="S265" s="15"/>
      <c r="T265" s="15"/>
      <c r="U265" s="15"/>
      <c r="V265" s="15"/>
    </row>
    <row r="266" spans="1:22" s="261" customFormat="1">
      <c r="A266" s="253"/>
      <c r="B266" s="317"/>
      <c r="C266" s="318"/>
      <c r="D266" s="319"/>
      <c r="E266" s="319"/>
      <c r="F266" s="319"/>
      <c r="G266" s="319"/>
      <c r="H266" s="319"/>
      <c r="I266" s="331"/>
      <c r="J266" s="320"/>
      <c r="K266" s="318"/>
      <c r="L266" s="319"/>
      <c r="M266" s="319"/>
      <c r="N266" s="319"/>
      <c r="O266" s="318"/>
      <c r="P266" s="321"/>
      <c r="Q266" s="319"/>
      <c r="R266" s="322"/>
      <c r="S266" s="15"/>
      <c r="T266" s="15"/>
      <c r="U266" s="15"/>
      <c r="V266" s="15"/>
    </row>
    <row r="267" spans="1:22">
      <c r="A267" s="253"/>
      <c r="B267" s="234"/>
      <c r="C267" s="249"/>
      <c r="D267" s="250"/>
      <c r="E267" s="250"/>
      <c r="F267" s="250"/>
      <c r="G267" s="250"/>
      <c r="H267" s="250"/>
      <c r="I267" s="250"/>
      <c r="J267" s="251"/>
      <c r="K267" s="249"/>
      <c r="L267" s="250"/>
      <c r="M267" s="250"/>
      <c r="N267" s="250"/>
      <c r="O267" s="249"/>
      <c r="P267" s="249"/>
      <c r="Q267" s="250"/>
      <c r="R267" s="252"/>
      <c r="S267" s="15"/>
      <c r="T267" s="15"/>
      <c r="U267" s="15"/>
      <c r="V267" s="15"/>
    </row>
    <row r="268" spans="1:22">
      <c r="A268" s="253"/>
      <c r="B268" s="254"/>
      <c r="C268" s="255"/>
      <c r="D268" s="256"/>
      <c r="E268" s="256"/>
      <c r="F268" s="256"/>
      <c r="G268" s="256"/>
      <c r="H268" s="256"/>
      <c r="I268" s="256"/>
      <c r="J268" s="257"/>
      <c r="K268" s="255"/>
      <c r="L268" s="256"/>
      <c r="M268" s="256"/>
      <c r="N268" s="256"/>
      <c r="O268" s="255"/>
      <c r="P268" s="255"/>
      <c r="Q268" s="256"/>
      <c r="R268" s="258"/>
      <c r="S268" s="15"/>
      <c r="T268" s="15"/>
      <c r="U268" s="15"/>
      <c r="V268" s="15"/>
    </row>
    <row r="269" spans="1:22" s="261" customFormat="1">
      <c r="A269" s="253"/>
      <c r="B269" s="317"/>
      <c r="C269" s="318"/>
      <c r="D269" s="319"/>
      <c r="E269" s="319"/>
      <c r="F269" s="319"/>
      <c r="G269" s="319"/>
      <c r="H269" s="319"/>
      <c r="I269" s="319"/>
      <c r="J269" s="320"/>
      <c r="K269" s="318"/>
      <c r="L269" s="319"/>
      <c r="M269" s="319"/>
      <c r="N269" s="319"/>
      <c r="O269" s="318"/>
      <c r="P269" s="321"/>
      <c r="Q269" s="319"/>
      <c r="R269" s="322"/>
      <c r="S269" s="15"/>
      <c r="T269" s="15"/>
      <c r="U269" s="15"/>
      <c r="V269" s="15"/>
    </row>
    <row r="270" spans="1:22">
      <c r="A270" s="253"/>
      <c r="B270" s="234"/>
      <c r="C270" s="249"/>
      <c r="D270" s="250"/>
      <c r="E270" s="250"/>
      <c r="F270" s="250"/>
      <c r="G270" s="250"/>
      <c r="H270" s="250"/>
      <c r="I270" s="250"/>
      <c r="J270" s="251"/>
      <c r="K270" s="249"/>
      <c r="L270" s="250"/>
      <c r="M270" s="250"/>
      <c r="N270" s="250"/>
      <c r="O270" s="249"/>
      <c r="P270" s="249"/>
      <c r="Q270" s="250"/>
      <c r="R270" s="252"/>
      <c r="S270" s="15"/>
      <c r="T270" s="15"/>
      <c r="U270" s="15"/>
      <c r="V270" s="15"/>
    </row>
    <row r="271" spans="1:22">
      <c r="A271" s="253"/>
      <c r="B271" s="254"/>
      <c r="C271" s="255"/>
      <c r="D271" s="256"/>
      <c r="E271" s="256"/>
      <c r="F271" s="256"/>
      <c r="G271" s="256"/>
      <c r="H271" s="256"/>
      <c r="I271" s="256"/>
      <c r="J271" s="257"/>
      <c r="K271" s="255"/>
      <c r="L271" s="256"/>
      <c r="M271" s="256"/>
      <c r="N271" s="256"/>
      <c r="O271" s="255"/>
      <c r="P271" s="255"/>
      <c r="Q271" s="256"/>
      <c r="R271" s="258"/>
      <c r="S271" s="15"/>
      <c r="T271" s="15"/>
      <c r="U271" s="15"/>
      <c r="V271" s="15"/>
    </row>
    <row r="272" spans="1:22" s="261" customFormat="1">
      <c r="A272" s="253"/>
      <c r="B272" s="317"/>
      <c r="C272" s="318"/>
      <c r="D272" s="319"/>
      <c r="E272" s="319"/>
      <c r="F272" s="319"/>
      <c r="G272" s="319"/>
      <c r="H272" s="319"/>
      <c r="I272" s="319"/>
      <c r="J272" s="320"/>
      <c r="K272" s="318"/>
      <c r="L272" s="319"/>
      <c r="M272" s="319"/>
      <c r="N272" s="319"/>
      <c r="O272" s="318"/>
      <c r="P272" s="321"/>
      <c r="Q272" s="319"/>
      <c r="R272" s="322"/>
      <c r="S272" s="15"/>
      <c r="T272" s="15"/>
      <c r="U272" s="15"/>
      <c r="V272" s="15"/>
    </row>
    <row r="273" spans="1:22">
      <c r="A273" s="253"/>
      <c r="B273" s="234"/>
      <c r="C273" s="249"/>
      <c r="D273" s="250"/>
      <c r="E273" s="250"/>
      <c r="F273" s="250"/>
      <c r="G273" s="250"/>
      <c r="H273" s="250"/>
      <c r="I273" s="250"/>
      <c r="J273" s="251"/>
      <c r="K273" s="249"/>
      <c r="L273" s="250"/>
      <c r="M273" s="250"/>
      <c r="N273" s="250"/>
      <c r="O273" s="249"/>
      <c r="P273" s="249"/>
      <c r="Q273" s="250"/>
      <c r="R273" s="252"/>
      <c r="S273" s="15"/>
      <c r="T273" s="15"/>
      <c r="U273" s="15"/>
      <c r="V273" s="15"/>
    </row>
    <row r="274" spans="1:22">
      <c r="A274" s="253"/>
      <c r="B274" s="254"/>
      <c r="C274" s="255"/>
      <c r="D274" s="256"/>
      <c r="E274" s="256"/>
      <c r="F274" s="256"/>
      <c r="G274" s="256"/>
      <c r="H274" s="256"/>
      <c r="I274" s="256"/>
      <c r="J274" s="257"/>
      <c r="K274" s="255"/>
      <c r="L274" s="256"/>
      <c r="M274" s="256"/>
      <c r="N274" s="256"/>
      <c r="O274" s="255"/>
      <c r="P274" s="255"/>
      <c r="Q274" s="256"/>
      <c r="R274" s="258"/>
      <c r="S274" s="15"/>
      <c r="T274" s="15"/>
      <c r="U274" s="15"/>
      <c r="V274" s="15"/>
    </row>
    <row r="275" spans="1:22" s="261" customFormat="1">
      <c r="A275" s="253"/>
      <c r="B275" s="317"/>
      <c r="C275" s="318"/>
      <c r="D275" s="319"/>
      <c r="E275" s="319"/>
      <c r="F275" s="319"/>
      <c r="G275" s="319"/>
      <c r="H275" s="319"/>
      <c r="I275" s="319"/>
      <c r="J275" s="320"/>
      <c r="K275" s="318"/>
      <c r="L275" s="319"/>
      <c r="M275" s="319"/>
      <c r="N275" s="319"/>
      <c r="O275" s="318"/>
      <c r="P275" s="321"/>
      <c r="Q275" s="319"/>
      <c r="R275" s="322"/>
      <c r="S275" s="15"/>
      <c r="T275" s="15"/>
      <c r="U275" s="15"/>
      <c r="V275" s="15"/>
    </row>
    <row r="276" spans="1:22">
      <c r="A276" s="253"/>
      <c r="B276" s="234"/>
      <c r="C276" s="249"/>
      <c r="D276" s="250"/>
      <c r="E276" s="250"/>
      <c r="F276" s="250"/>
      <c r="G276" s="250"/>
      <c r="H276" s="250"/>
      <c r="I276" s="250"/>
      <c r="J276" s="251"/>
      <c r="K276" s="249"/>
      <c r="L276" s="250"/>
      <c r="M276" s="250"/>
      <c r="N276" s="250"/>
      <c r="O276" s="249"/>
      <c r="P276" s="249"/>
      <c r="Q276" s="250"/>
      <c r="R276" s="252"/>
      <c r="S276" s="15"/>
      <c r="T276" s="15"/>
      <c r="U276" s="15"/>
      <c r="V276" s="15"/>
    </row>
    <row r="277" spans="1:22">
      <c r="A277" s="253"/>
      <c r="B277" s="254"/>
      <c r="C277" s="255"/>
      <c r="D277" s="256"/>
      <c r="E277" s="256"/>
      <c r="F277" s="256"/>
      <c r="G277" s="256"/>
      <c r="H277" s="256"/>
      <c r="I277" s="256"/>
      <c r="J277" s="257"/>
      <c r="K277" s="255"/>
      <c r="L277" s="256"/>
      <c r="M277" s="256"/>
      <c r="N277" s="256"/>
      <c r="O277" s="255"/>
      <c r="P277" s="255"/>
      <c r="Q277" s="256"/>
      <c r="R277" s="258"/>
      <c r="S277" s="15"/>
      <c r="T277" s="15"/>
      <c r="U277" s="15"/>
      <c r="V277" s="15"/>
    </row>
    <row r="278" spans="1:22" s="261" customFormat="1">
      <c r="A278" s="253"/>
      <c r="B278" s="317"/>
      <c r="C278" s="318"/>
      <c r="D278" s="319"/>
      <c r="E278" s="319"/>
      <c r="F278" s="331"/>
      <c r="G278" s="319"/>
      <c r="H278" s="319"/>
      <c r="I278" s="319"/>
      <c r="J278" s="320"/>
      <c r="K278" s="318"/>
      <c r="L278" s="319"/>
      <c r="M278" s="319"/>
      <c r="N278" s="319"/>
      <c r="O278" s="318"/>
      <c r="P278" s="321"/>
      <c r="Q278" s="319"/>
      <c r="R278" s="322"/>
      <c r="S278" s="605"/>
      <c r="T278" s="15"/>
      <c r="U278" s="15"/>
      <c r="V278" s="15"/>
    </row>
    <row r="279" spans="1:22">
      <c r="A279" s="253"/>
      <c r="B279" s="234"/>
      <c r="C279" s="249"/>
      <c r="D279" s="250"/>
      <c r="E279" s="250"/>
      <c r="F279" s="250"/>
      <c r="G279" s="250"/>
      <c r="H279" s="250"/>
      <c r="I279" s="250"/>
      <c r="J279" s="251"/>
      <c r="K279" s="249"/>
      <c r="L279" s="250"/>
      <c r="M279" s="250"/>
      <c r="N279" s="250"/>
      <c r="O279" s="249"/>
      <c r="P279" s="249"/>
      <c r="Q279" s="250"/>
      <c r="R279" s="252"/>
      <c r="S279" s="15"/>
      <c r="T279" s="15"/>
      <c r="U279" s="15"/>
      <c r="V279" s="15"/>
    </row>
    <row r="280" spans="1:22">
      <c r="A280" s="253"/>
      <c r="B280" s="254"/>
      <c r="C280" s="255"/>
      <c r="D280" s="256"/>
      <c r="E280" s="256"/>
      <c r="F280" s="256"/>
      <c r="G280" s="256"/>
      <c r="H280" s="256"/>
      <c r="I280" s="256"/>
      <c r="J280" s="257"/>
      <c r="K280" s="255"/>
      <c r="L280" s="256"/>
      <c r="M280" s="256"/>
      <c r="N280" s="256"/>
      <c r="O280" s="255"/>
      <c r="P280" s="255"/>
      <c r="Q280" s="256"/>
      <c r="R280" s="258"/>
      <c r="S280" s="15"/>
      <c r="T280" s="15"/>
      <c r="U280" s="15"/>
      <c r="V280" s="15"/>
    </row>
    <row r="281" spans="1:22" s="261" customFormat="1">
      <c r="A281" s="253"/>
      <c r="B281" s="317"/>
      <c r="C281" s="318"/>
      <c r="D281" s="319"/>
      <c r="E281" s="319"/>
      <c r="F281" s="319"/>
      <c r="G281" s="319"/>
      <c r="H281" s="319"/>
      <c r="I281" s="319"/>
      <c r="J281" s="320"/>
      <c r="K281" s="318"/>
      <c r="L281" s="319"/>
      <c r="M281" s="319"/>
      <c r="N281" s="319"/>
      <c r="O281" s="318"/>
      <c r="P281" s="321"/>
      <c r="Q281" s="319"/>
      <c r="R281" s="322"/>
      <c r="S281" s="15"/>
      <c r="T281" s="15"/>
      <c r="U281" s="15"/>
      <c r="V281" s="15"/>
    </row>
    <row r="282" spans="1:22">
      <c r="A282" s="253"/>
      <c r="B282" s="234"/>
      <c r="C282" s="249"/>
      <c r="D282" s="250"/>
      <c r="E282" s="250"/>
      <c r="F282" s="250"/>
      <c r="G282" s="250"/>
      <c r="H282" s="250"/>
      <c r="I282" s="250"/>
      <c r="J282" s="251"/>
      <c r="K282" s="249"/>
      <c r="L282" s="250"/>
      <c r="M282" s="250"/>
      <c r="N282" s="250"/>
      <c r="O282" s="249"/>
      <c r="P282" s="249"/>
      <c r="Q282" s="250"/>
      <c r="R282" s="252"/>
      <c r="S282" s="15"/>
      <c r="T282" s="15"/>
      <c r="U282" s="15"/>
      <c r="V282" s="15"/>
    </row>
    <row r="283" spans="1:22">
      <c r="A283" s="253"/>
      <c r="B283" s="254"/>
      <c r="C283" s="255"/>
      <c r="D283" s="256"/>
      <c r="E283" s="256"/>
      <c r="F283" s="256"/>
      <c r="G283" s="256"/>
      <c r="H283" s="256"/>
      <c r="I283" s="256"/>
      <c r="J283" s="257"/>
      <c r="K283" s="255"/>
      <c r="L283" s="256"/>
      <c r="M283" s="256"/>
      <c r="N283" s="256"/>
      <c r="O283" s="255"/>
      <c r="P283" s="255"/>
      <c r="Q283" s="256"/>
      <c r="R283" s="258"/>
      <c r="S283" s="15"/>
      <c r="T283" s="15"/>
      <c r="U283" s="15"/>
      <c r="V283" s="15"/>
    </row>
    <row r="284" spans="1:22" s="261" customFormat="1">
      <c r="A284" s="253"/>
      <c r="B284" s="317"/>
      <c r="C284" s="318"/>
      <c r="D284" s="319"/>
      <c r="E284" s="319"/>
      <c r="F284" s="331"/>
      <c r="G284" s="319"/>
      <c r="H284" s="319"/>
      <c r="I284" s="319"/>
      <c r="J284" s="320"/>
      <c r="K284" s="318"/>
      <c r="L284" s="319"/>
      <c r="M284" s="319"/>
      <c r="N284" s="319"/>
      <c r="O284" s="318"/>
      <c r="P284" s="321"/>
      <c r="Q284" s="319"/>
      <c r="R284" s="322"/>
      <c r="S284" s="15"/>
      <c r="T284" s="15"/>
      <c r="U284" s="15"/>
      <c r="V284" s="15"/>
    </row>
    <row r="285" spans="1:22">
      <c r="A285" s="253"/>
      <c r="B285" s="234"/>
      <c r="C285" s="249"/>
      <c r="D285" s="250"/>
      <c r="E285" s="250"/>
      <c r="F285" s="250"/>
      <c r="G285" s="250"/>
      <c r="H285" s="250"/>
      <c r="I285" s="250"/>
      <c r="J285" s="251"/>
      <c r="K285" s="249"/>
      <c r="L285" s="250"/>
      <c r="M285" s="250"/>
      <c r="N285" s="250"/>
      <c r="O285" s="249"/>
      <c r="P285" s="249"/>
      <c r="Q285" s="250"/>
      <c r="R285" s="252"/>
      <c r="S285" s="15"/>
      <c r="T285" s="15"/>
      <c r="U285" s="15"/>
      <c r="V285" s="15"/>
    </row>
    <row r="286" spans="1:22">
      <c r="A286" s="253"/>
      <c r="B286" s="254"/>
      <c r="C286" s="255"/>
      <c r="D286" s="256"/>
      <c r="E286" s="256"/>
      <c r="F286" s="256"/>
      <c r="G286" s="256"/>
      <c r="H286" s="256"/>
      <c r="I286" s="256"/>
      <c r="J286" s="257"/>
      <c r="K286" s="255"/>
      <c r="L286" s="256"/>
      <c r="M286" s="256"/>
      <c r="N286" s="256"/>
      <c r="O286" s="255"/>
      <c r="P286" s="255"/>
      <c r="Q286" s="256"/>
      <c r="R286" s="258"/>
      <c r="S286" s="15"/>
      <c r="T286" s="15"/>
      <c r="U286" s="15"/>
      <c r="V286" s="15"/>
    </row>
    <row r="287" spans="1:22" s="261" customFormat="1">
      <c r="A287" s="253"/>
      <c r="B287" s="317"/>
      <c r="C287" s="318"/>
      <c r="D287" s="319"/>
      <c r="E287" s="319"/>
      <c r="F287" s="319"/>
      <c r="G287" s="319"/>
      <c r="H287" s="319"/>
      <c r="I287" s="319"/>
      <c r="J287" s="320"/>
      <c r="K287" s="318"/>
      <c r="L287" s="319"/>
      <c r="M287" s="319"/>
      <c r="N287" s="319"/>
      <c r="O287" s="318"/>
      <c r="P287" s="321"/>
      <c r="Q287" s="319"/>
      <c r="R287" s="322"/>
      <c r="S287" s="15"/>
      <c r="T287" s="15"/>
      <c r="U287" s="15"/>
      <c r="V287" s="15"/>
    </row>
    <row r="288" spans="1:22">
      <c r="A288" s="253"/>
      <c r="B288" s="234"/>
      <c r="C288" s="249"/>
      <c r="D288" s="250"/>
      <c r="E288" s="250"/>
      <c r="F288" s="250"/>
      <c r="G288" s="250"/>
      <c r="H288" s="250"/>
      <c r="I288" s="250"/>
      <c r="J288" s="251"/>
      <c r="K288" s="249"/>
      <c r="L288" s="250"/>
      <c r="M288" s="250"/>
      <c r="N288" s="250"/>
      <c r="O288" s="249"/>
      <c r="P288" s="249"/>
      <c r="Q288" s="250"/>
      <c r="R288" s="252"/>
      <c r="S288" s="15"/>
      <c r="T288" s="15"/>
      <c r="U288" s="15"/>
      <c r="V288" s="15"/>
    </row>
    <row r="289" spans="1:22">
      <c r="A289" s="253"/>
      <c r="B289" s="254"/>
      <c r="C289" s="255"/>
      <c r="D289" s="256"/>
      <c r="E289" s="256"/>
      <c r="F289" s="256"/>
      <c r="G289" s="256"/>
      <c r="H289" s="256"/>
      <c r="I289" s="256"/>
      <c r="J289" s="257"/>
      <c r="K289" s="255"/>
      <c r="L289" s="256"/>
      <c r="M289" s="256"/>
      <c r="N289" s="256"/>
      <c r="O289" s="255"/>
      <c r="P289" s="255"/>
      <c r="Q289" s="256"/>
      <c r="R289" s="258"/>
      <c r="S289" s="15"/>
      <c r="T289" s="15"/>
      <c r="U289" s="15"/>
      <c r="V289" s="15"/>
    </row>
    <row r="290" spans="1:22" s="261" customFormat="1">
      <c r="A290" s="253"/>
      <c r="B290" s="317"/>
      <c r="C290" s="318"/>
      <c r="D290" s="319"/>
      <c r="E290" s="319"/>
      <c r="F290" s="319"/>
      <c r="G290" s="319"/>
      <c r="H290" s="319"/>
      <c r="I290" s="319"/>
      <c r="J290" s="320"/>
      <c r="K290" s="318"/>
      <c r="L290" s="319"/>
      <c r="M290" s="319"/>
      <c r="N290" s="319"/>
      <c r="O290" s="318"/>
      <c r="P290" s="321"/>
      <c r="Q290" s="319"/>
      <c r="R290" s="322"/>
      <c r="S290" s="15"/>
      <c r="T290" s="15"/>
      <c r="U290" s="15"/>
      <c r="V290" s="15"/>
    </row>
    <row r="291" spans="1:22">
      <c r="A291" s="253"/>
      <c r="B291" s="234"/>
      <c r="C291" s="249"/>
      <c r="D291" s="250"/>
      <c r="E291" s="250"/>
      <c r="F291" s="250"/>
      <c r="G291" s="250"/>
      <c r="H291" s="250"/>
      <c r="I291" s="250"/>
      <c r="J291" s="251"/>
      <c r="K291" s="249"/>
      <c r="L291" s="250"/>
      <c r="M291" s="250"/>
      <c r="N291" s="250"/>
      <c r="O291" s="249"/>
      <c r="P291" s="249"/>
      <c r="Q291" s="250"/>
      <c r="R291" s="252"/>
      <c r="S291" s="15"/>
      <c r="T291" s="15"/>
      <c r="U291" s="15"/>
      <c r="V291" s="15"/>
    </row>
    <row r="292" spans="1:22">
      <c r="A292" s="253"/>
      <c r="B292" s="254"/>
      <c r="C292" s="255"/>
      <c r="D292" s="256"/>
      <c r="E292" s="256"/>
      <c r="F292" s="256"/>
      <c r="G292" s="256"/>
      <c r="H292" s="256"/>
      <c r="I292" s="256"/>
      <c r="J292" s="257"/>
      <c r="K292" s="255"/>
      <c r="L292" s="256"/>
      <c r="M292" s="256"/>
      <c r="N292" s="256"/>
      <c r="O292" s="255"/>
      <c r="P292" s="255"/>
      <c r="Q292" s="256"/>
      <c r="R292" s="258"/>
      <c r="S292" s="15"/>
      <c r="T292" s="15"/>
      <c r="U292" s="15"/>
      <c r="V292" s="15"/>
    </row>
    <row r="293" spans="1:22" s="261" customFormat="1">
      <c r="A293" s="260"/>
      <c r="B293" s="317"/>
      <c r="C293" s="318"/>
      <c r="D293" s="319"/>
      <c r="E293" s="319"/>
      <c r="F293" s="319"/>
      <c r="G293" s="319"/>
      <c r="H293" s="319"/>
      <c r="I293" s="319"/>
      <c r="J293" s="320"/>
      <c r="K293" s="318"/>
      <c r="L293" s="319"/>
      <c r="M293" s="319"/>
      <c r="N293" s="319"/>
      <c r="O293" s="318"/>
      <c r="P293" s="321"/>
      <c r="Q293" s="319"/>
      <c r="R293" s="322"/>
      <c r="S293" s="15"/>
      <c r="T293" s="15"/>
      <c r="U293" s="15"/>
      <c r="V293" s="15"/>
    </row>
    <row r="294" spans="1:22">
      <c r="A294" s="248"/>
      <c r="B294" s="234"/>
      <c r="C294" s="249"/>
      <c r="D294" s="250"/>
      <c r="E294" s="250"/>
      <c r="F294" s="250"/>
      <c r="G294" s="250"/>
      <c r="H294" s="250"/>
      <c r="I294" s="250"/>
      <c r="J294" s="251"/>
      <c r="K294" s="249"/>
      <c r="L294" s="250"/>
      <c r="M294" s="250"/>
      <c r="N294" s="250"/>
      <c r="O294" s="249"/>
      <c r="P294" s="249"/>
      <c r="Q294" s="250"/>
      <c r="R294" s="252"/>
      <c r="S294" s="15"/>
      <c r="T294" s="15"/>
      <c r="U294" s="15"/>
      <c r="V294" s="15"/>
    </row>
    <row r="295" spans="1:22">
      <c r="A295" s="253"/>
      <c r="B295" s="254"/>
      <c r="C295" s="255"/>
      <c r="D295" s="256"/>
      <c r="E295" s="256"/>
      <c r="F295" s="256"/>
      <c r="G295" s="256"/>
      <c r="H295" s="256"/>
      <c r="I295" s="256"/>
      <c r="J295" s="257"/>
      <c r="K295" s="255"/>
      <c r="L295" s="256"/>
      <c r="M295" s="256"/>
      <c r="N295" s="256"/>
      <c r="O295" s="255"/>
      <c r="P295" s="255"/>
      <c r="Q295" s="256"/>
      <c r="R295" s="258"/>
      <c r="S295" s="15"/>
      <c r="T295" s="15"/>
      <c r="U295" s="15"/>
      <c r="V295" s="15"/>
    </row>
    <row r="296" spans="1:22">
      <c r="A296" s="253"/>
      <c r="B296" s="317"/>
      <c r="C296" s="318"/>
      <c r="D296" s="319"/>
      <c r="E296" s="319"/>
      <c r="F296" s="319"/>
      <c r="G296" s="331"/>
      <c r="H296" s="319"/>
      <c r="I296" s="319"/>
      <c r="J296" s="320"/>
      <c r="K296" s="318"/>
      <c r="L296" s="319"/>
      <c r="M296" s="319"/>
      <c r="N296" s="319"/>
      <c r="O296" s="318"/>
      <c r="P296" s="321"/>
      <c r="Q296" s="319"/>
      <c r="R296" s="322"/>
      <c r="S296" s="605"/>
      <c r="T296" s="15"/>
      <c r="U296" s="15"/>
      <c r="V296" s="15"/>
    </row>
    <row r="297" spans="1:22">
      <c r="A297" s="253"/>
      <c r="B297" s="234"/>
      <c r="C297" s="249"/>
      <c r="D297" s="250"/>
      <c r="E297" s="250"/>
      <c r="F297" s="250"/>
      <c r="G297" s="250"/>
      <c r="H297" s="250"/>
      <c r="I297" s="250"/>
      <c r="J297" s="251"/>
      <c r="K297" s="249"/>
      <c r="L297" s="250"/>
      <c r="M297" s="250"/>
      <c r="N297" s="250"/>
      <c r="O297" s="249"/>
      <c r="P297" s="249"/>
      <c r="Q297" s="250"/>
      <c r="R297" s="252"/>
      <c r="S297" s="15"/>
      <c r="T297" s="15"/>
      <c r="U297" s="15"/>
      <c r="V297" s="15"/>
    </row>
    <row r="298" spans="1:22">
      <c r="A298" s="253"/>
      <c r="B298" s="254"/>
      <c r="C298" s="255"/>
      <c r="D298" s="256"/>
      <c r="E298" s="256"/>
      <c r="F298" s="256"/>
      <c r="G298" s="256"/>
      <c r="H298" s="256"/>
      <c r="I298" s="256"/>
      <c r="J298" s="257"/>
      <c r="K298" s="255"/>
      <c r="L298" s="256"/>
      <c r="M298" s="256"/>
      <c r="N298" s="256"/>
      <c r="O298" s="255"/>
      <c r="P298" s="255"/>
      <c r="Q298" s="256"/>
      <c r="R298" s="258"/>
      <c r="S298" s="15"/>
      <c r="T298" s="15"/>
      <c r="U298" s="15"/>
      <c r="V298" s="15"/>
    </row>
    <row r="299" spans="1:22">
      <c r="A299" s="253"/>
      <c r="B299" s="317"/>
      <c r="C299" s="318"/>
      <c r="D299" s="319"/>
      <c r="E299" s="319"/>
      <c r="F299" s="319"/>
      <c r="G299" s="319"/>
      <c r="H299" s="319"/>
      <c r="I299" s="319"/>
      <c r="J299" s="320"/>
      <c r="K299" s="318"/>
      <c r="L299" s="319"/>
      <c r="M299" s="319"/>
      <c r="N299" s="319"/>
      <c r="O299" s="318"/>
      <c r="P299" s="321"/>
      <c r="Q299" s="319"/>
      <c r="R299" s="322"/>
      <c r="S299" s="15"/>
      <c r="T299" s="15"/>
      <c r="U299" s="15"/>
      <c r="V299" s="15"/>
    </row>
    <row r="300" spans="1:22">
      <c r="A300" s="253"/>
      <c r="B300" s="234"/>
      <c r="C300" s="249"/>
      <c r="D300" s="250"/>
      <c r="E300" s="250"/>
      <c r="F300" s="250"/>
      <c r="G300" s="250"/>
      <c r="H300" s="250"/>
      <c r="I300" s="250"/>
      <c r="J300" s="251"/>
      <c r="K300" s="249"/>
      <c r="L300" s="250"/>
      <c r="M300" s="250"/>
      <c r="N300" s="250"/>
      <c r="O300" s="249"/>
      <c r="P300" s="249"/>
      <c r="Q300" s="250"/>
      <c r="R300" s="252"/>
      <c r="S300" s="15"/>
      <c r="T300" s="15"/>
      <c r="U300" s="15"/>
      <c r="V300" s="15"/>
    </row>
    <row r="301" spans="1:22">
      <c r="A301" s="253"/>
      <c r="B301" s="254"/>
      <c r="C301" s="255"/>
      <c r="D301" s="256"/>
      <c r="E301" s="256"/>
      <c r="F301" s="256"/>
      <c r="G301" s="256"/>
      <c r="H301" s="256"/>
      <c r="I301" s="256"/>
      <c r="J301" s="257"/>
      <c r="K301" s="255"/>
      <c r="L301" s="256"/>
      <c r="M301" s="256"/>
      <c r="N301" s="256"/>
      <c r="O301" s="255"/>
      <c r="P301" s="255"/>
      <c r="Q301" s="256"/>
      <c r="R301" s="258"/>
      <c r="S301" s="15"/>
      <c r="T301" s="15"/>
      <c r="U301" s="15"/>
      <c r="V301" s="15"/>
    </row>
    <row r="302" spans="1:22">
      <c r="A302" s="253"/>
      <c r="B302" s="317"/>
      <c r="C302" s="318"/>
      <c r="D302" s="319"/>
      <c r="E302" s="319"/>
      <c r="F302" s="319"/>
      <c r="G302" s="331"/>
      <c r="H302" s="319"/>
      <c r="I302" s="319"/>
      <c r="J302" s="320"/>
      <c r="K302" s="318"/>
      <c r="L302" s="319"/>
      <c r="M302" s="319"/>
      <c r="N302" s="319"/>
      <c r="O302" s="318"/>
      <c r="P302" s="321"/>
      <c r="Q302" s="319"/>
      <c r="R302" s="322"/>
      <c r="S302" s="15"/>
      <c r="T302" s="15"/>
      <c r="U302" s="15"/>
      <c r="V302" s="15"/>
    </row>
    <row r="303" spans="1:22">
      <c r="A303" s="253"/>
      <c r="B303" s="234"/>
      <c r="C303" s="249"/>
      <c r="D303" s="250"/>
      <c r="E303" s="250"/>
      <c r="F303" s="250"/>
      <c r="G303" s="250"/>
      <c r="H303" s="250"/>
      <c r="I303" s="250"/>
      <c r="J303" s="251"/>
      <c r="K303" s="249"/>
      <c r="L303" s="250"/>
      <c r="M303" s="250"/>
      <c r="N303" s="250"/>
      <c r="O303" s="249"/>
      <c r="P303" s="249"/>
      <c r="Q303" s="250"/>
      <c r="R303" s="252"/>
      <c r="S303" s="15"/>
      <c r="T303" s="15"/>
      <c r="U303" s="15"/>
      <c r="V303" s="15"/>
    </row>
    <row r="304" spans="1:22">
      <c r="A304" s="253"/>
      <c r="B304" s="254"/>
      <c r="C304" s="255"/>
      <c r="D304" s="256"/>
      <c r="E304" s="256"/>
      <c r="F304" s="256"/>
      <c r="G304" s="256"/>
      <c r="H304" s="256"/>
      <c r="I304" s="256"/>
      <c r="J304" s="257"/>
      <c r="K304" s="255"/>
      <c r="L304" s="256"/>
      <c r="M304" s="256"/>
      <c r="N304" s="256"/>
      <c r="O304" s="255"/>
      <c r="P304" s="255"/>
      <c r="Q304" s="256"/>
      <c r="R304" s="258"/>
      <c r="S304" s="15"/>
      <c r="T304" s="15"/>
      <c r="U304" s="15"/>
      <c r="V304" s="15"/>
    </row>
    <row r="305" spans="1:22">
      <c r="A305" s="253"/>
      <c r="B305" s="317"/>
      <c r="C305" s="318"/>
      <c r="D305" s="319"/>
      <c r="E305" s="319"/>
      <c r="F305" s="319"/>
      <c r="G305" s="319"/>
      <c r="H305" s="319"/>
      <c r="I305" s="319"/>
      <c r="J305" s="320"/>
      <c r="K305" s="318"/>
      <c r="L305" s="319"/>
      <c r="M305" s="319"/>
      <c r="N305" s="319"/>
      <c r="O305" s="318"/>
      <c r="P305" s="321"/>
      <c r="Q305" s="319"/>
      <c r="R305" s="322"/>
      <c r="S305" s="15"/>
      <c r="T305" s="15"/>
      <c r="U305" s="15"/>
      <c r="V305" s="15"/>
    </row>
    <row r="306" spans="1:22">
      <c r="A306" s="253"/>
      <c r="B306" s="234"/>
      <c r="C306" s="249"/>
      <c r="D306" s="250"/>
      <c r="E306" s="250"/>
      <c r="F306" s="250"/>
      <c r="G306" s="250"/>
      <c r="H306" s="250"/>
      <c r="I306" s="250"/>
      <c r="J306" s="251"/>
      <c r="K306" s="249"/>
      <c r="L306" s="250"/>
      <c r="M306" s="250"/>
      <c r="N306" s="250"/>
      <c r="O306" s="249"/>
      <c r="P306" s="249"/>
      <c r="Q306" s="250"/>
      <c r="R306" s="252"/>
      <c r="S306" s="15"/>
      <c r="T306" s="15"/>
      <c r="U306" s="15"/>
      <c r="V306" s="15"/>
    </row>
    <row r="307" spans="1:22">
      <c r="A307" s="253"/>
      <c r="B307" s="254"/>
      <c r="C307" s="255"/>
      <c r="D307" s="256"/>
      <c r="E307" s="256"/>
      <c r="F307" s="256"/>
      <c r="G307" s="256"/>
      <c r="H307" s="256"/>
      <c r="I307" s="256"/>
      <c r="J307" s="257"/>
      <c r="K307" s="255"/>
      <c r="L307" s="256"/>
      <c r="M307" s="256"/>
      <c r="N307" s="256"/>
      <c r="O307" s="255"/>
      <c r="P307" s="255"/>
      <c r="Q307" s="256"/>
      <c r="R307" s="258"/>
      <c r="S307" s="15"/>
      <c r="T307" s="15"/>
      <c r="U307" s="15"/>
      <c r="V307" s="15"/>
    </row>
    <row r="308" spans="1:22">
      <c r="A308" s="253"/>
      <c r="B308" s="317"/>
      <c r="C308" s="318"/>
      <c r="D308" s="319"/>
      <c r="E308" s="319"/>
      <c r="F308" s="319"/>
      <c r="G308" s="319"/>
      <c r="H308" s="319"/>
      <c r="I308" s="319"/>
      <c r="J308" s="320"/>
      <c r="K308" s="318"/>
      <c r="L308" s="319"/>
      <c r="M308" s="319"/>
      <c r="N308" s="319"/>
      <c r="O308" s="318"/>
      <c r="P308" s="321"/>
      <c r="Q308" s="319"/>
      <c r="R308" s="322"/>
      <c r="S308" s="15"/>
      <c r="T308" s="15"/>
      <c r="U308" s="15"/>
      <c r="V308" s="15"/>
    </row>
    <row r="309" spans="1:22">
      <c r="A309" s="253"/>
      <c r="B309" s="234"/>
      <c r="C309" s="249"/>
      <c r="D309" s="250"/>
      <c r="E309" s="250"/>
      <c r="F309" s="250"/>
      <c r="G309" s="250"/>
      <c r="H309" s="250"/>
      <c r="I309" s="250"/>
      <c r="J309" s="251"/>
      <c r="K309" s="249"/>
      <c r="L309" s="250"/>
      <c r="M309" s="250"/>
      <c r="N309" s="250"/>
      <c r="O309" s="249"/>
      <c r="P309" s="249"/>
      <c r="Q309" s="250"/>
      <c r="R309" s="252"/>
      <c r="S309" s="15"/>
      <c r="T309" s="15"/>
      <c r="U309" s="15"/>
      <c r="V309" s="15"/>
    </row>
    <row r="310" spans="1:22">
      <c r="A310" s="253"/>
      <c r="B310" s="254"/>
      <c r="C310" s="255"/>
      <c r="D310" s="256"/>
      <c r="E310" s="256"/>
      <c r="F310" s="256"/>
      <c r="G310" s="256"/>
      <c r="H310" s="256"/>
      <c r="I310" s="256"/>
      <c r="J310" s="257"/>
      <c r="K310" s="255"/>
      <c r="L310" s="256"/>
      <c r="M310" s="256"/>
      <c r="N310" s="256"/>
      <c r="O310" s="255"/>
      <c r="P310" s="255"/>
      <c r="Q310" s="256"/>
      <c r="R310" s="258"/>
      <c r="S310" s="15"/>
      <c r="T310" s="15"/>
      <c r="U310" s="15"/>
      <c r="V310" s="15"/>
    </row>
    <row r="311" spans="1:22">
      <c r="A311" s="253"/>
      <c r="B311" s="317"/>
      <c r="C311" s="318"/>
      <c r="D311" s="319"/>
      <c r="E311" s="319"/>
      <c r="F311" s="319"/>
      <c r="G311" s="319"/>
      <c r="H311" s="319"/>
      <c r="I311" s="319"/>
      <c r="J311" s="320"/>
      <c r="K311" s="318"/>
      <c r="L311" s="319"/>
      <c r="M311" s="319"/>
      <c r="N311" s="319"/>
      <c r="O311" s="318"/>
      <c r="P311" s="321"/>
      <c r="Q311" s="319"/>
      <c r="R311" s="322"/>
      <c r="S311" s="15"/>
      <c r="T311" s="15"/>
      <c r="U311" s="15"/>
      <c r="V311" s="15"/>
    </row>
    <row r="312" spans="1:22">
      <c r="A312" s="253"/>
      <c r="B312" s="234"/>
      <c r="C312" s="249"/>
      <c r="D312" s="250"/>
      <c r="E312" s="250"/>
      <c r="F312" s="250"/>
      <c r="G312" s="250"/>
      <c r="H312" s="250"/>
      <c r="I312" s="250"/>
      <c r="J312" s="251"/>
      <c r="K312" s="249"/>
      <c r="L312" s="250"/>
      <c r="M312" s="250"/>
      <c r="N312" s="250"/>
      <c r="O312" s="249"/>
      <c r="P312" s="249"/>
      <c r="Q312" s="250"/>
      <c r="R312" s="252"/>
      <c r="S312" s="15"/>
      <c r="T312" s="15"/>
      <c r="U312" s="15"/>
      <c r="V312" s="15"/>
    </row>
    <row r="313" spans="1:22">
      <c r="A313" s="253"/>
      <c r="B313" s="254"/>
      <c r="C313" s="255"/>
      <c r="D313" s="256"/>
      <c r="E313" s="256"/>
      <c r="F313" s="256"/>
      <c r="G313" s="256"/>
      <c r="H313" s="256"/>
      <c r="I313" s="256"/>
      <c r="J313" s="257"/>
      <c r="K313" s="255"/>
      <c r="L313" s="256"/>
      <c r="M313" s="256"/>
      <c r="N313" s="256"/>
      <c r="O313" s="255"/>
      <c r="P313" s="255"/>
      <c r="Q313" s="256"/>
      <c r="R313" s="258"/>
      <c r="S313" s="15"/>
      <c r="T313" s="15"/>
      <c r="U313" s="15"/>
      <c r="V313" s="15"/>
    </row>
    <row r="314" spans="1:22">
      <c r="A314" s="253"/>
      <c r="B314" s="317"/>
      <c r="C314" s="318"/>
      <c r="D314" s="319"/>
      <c r="E314" s="319"/>
      <c r="F314" s="319"/>
      <c r="G314" s="319"/>
      <c r="H314" s="319"/>
      <c r="I314" s="319"/>
      <c r="J314" s="320"/>
      <c r="K314" s="318"/>
      <c r="L314" s="319"/>
      <c r="M314" s="319"/>
      <c r="N314" s="319"/>
      <c r="O314" s="318"/>
      <c r="P314" s="321"/>
      <c r="Q314" s="319"/>
      <c r="R314" s="322"/>
      <c r="S314" s="15"/>
      <c r="T314" s="15"/>
      <c r="U314" s="15"/>
      <c r="V314" s="15"/>
    </row>
    <row r="315" spans="1:22">
      <c r="A315" s="253"/>
      <c r="B315" s="234"/>
      <c r="C315" s="249"/>
      <c r="D315" s="250"/>
      <c r="E315" s="250"/>
      <c r="F315" s="250"/>
      <c r="G315" s="250"/>
      <c r="H315" s="250"/>
      <c r="I315" s="250"/>
      <c r="J315" s="251"/>
      <c r="K315" s="249"/>
      <c r="L315" s="250"/>
      <c r="M315" s="250"/>
      <c r="N315" s="250"/>
      <c r="O315" s="249"/>
      <c r="P315" s="249"/>
      <c r="Q315" s="250"/>
      <c r="R315" s="252"/>
      <c r="S315" s="15"/>
      <c r="T315" s="15"/>
      <c r="U315" s="15"/>
      <c r="V315" s="15"/>
    </row>
    <row r="316" spans="1:22">
      <c r="A316" s="253"/>
      <c r="B316" s="254"/>
      <c r="C316" s="255"/>
      <c r="D316" s="256"/>
      <c r="E316" s="256"/>
      <c r="F316" s="256"/>
      <c r="G316" s="256"/>
      <c r="H316" s="256"/>
      <c r="I316" s="256"/>
      <c r="J316" s="257"/>
      <c r="K316" s="255"/>
      <c r="L316" s="256"/>
      <c r="M316" s="256"/>
      <c r="N316" s="256"/>
      <c r="O316" s="255"/>
      <c r="P316" s="255"/>
      <c r="Q316" s="256"/>
      <c r="R316" s="258"/>
      <c r="S316" s="15"/>
      <c r="T316" s="15"/>
      <c r="U316" s="15"/>
      <c r="V316" s="15"/>
    </row>
    <row r="317" spans="1:22">
      <c r="A317" s="253"/>
      <c r="B317" s="317"/>
      <c r="C317" s="318"/>
      <c r="D317" s="331"/>
      <c r="E317" s="319"/>
      <c r="F317" s="319"/>
      <c r="G317" s="319"/>
      <c r="H317" s="319"/>
      <c r="I317" s="319"/>
      <c r="J317" s="320"/>
      <c r="K317" s="318"/>
      <c r="L317" s="319"/>
      <c r="M317" s="319"/>
      <c r="N317" s="319"/>
      <c r="O317" s="318"/>
      <c r="P317" s="321"/>
      <c r="Q317" s="319"/>
      <c r="R317" s="322"/>
      <c r="S317" s="15"/>
      <c r="T317" s="15"/>
      <c r="U317" s="15"/>
      <c r="V317" s="15"/>
    </row>
    <row r="318" spans="1:22">
      <c r="A318" s="253"/>
      <c r="B318" s="234"/>
      <c r="C318" s="249"/>
      <c r="D318" s="250"/>
      <c r="E318" s="250"/>
      <c r="F318" s="250"/>
      <c r="G318" s="250"/>
      <c r="H318" s="250"/>
      <c r="I318" s="250"/>
      <c r="J318" s="251"/>
      <c r="K318" s="249"/>
      <c r="L318" s="250"/>
      <c r="M318" s="250"/>
      <c r="N318" s="250"/>
      <c r="O318" s="249"/>
      <c r="P318" s="249"/>
      <c r="Q318" s="250"/>
      <c r="R318" s="252"/>
      <c r="S318" s="15"/>
      <c r="T318" s="15"/>
      <c r="U318" s="15"/>
      <c r="V318" s="15"/>
    </row>
    <row r="319" spans="1:22">
      <c r="A319" s="253"/>
      <c r="B319" s="254"/>
      <c r="C319" s="255"/>
      <c r="D319" s="256"/>
      <c r="E319" s="256"/>
      <c r="F319" s="256"/>
      <c r="G319" s="256"/>
      <c r="H319" s="256"/>
      <c r="I319" s="256"/>
      <c r="J319" s="257"/>
      <c r="K319" s="255"/>
      <c r="L319" s="256"/>
      <c r="M319" s="256"/>
      <c r="N319" s="256"/>
      <c r="O319" s="255"/>
      <c r="P319" s="255"/>
      <c r="Q319" s="256"/>
      <c r="R319" s="258"/>
      <c r="S319" s="15"/>
      <c r="T319" s="15"/>
      <c r="U319" s="15"/>
      <c r="V319" s="15"/>
    </row>
    <row r="320" spans="1:22">
      <c r="A320" s="253"/>
      <c r="B320" s="317"/>
      <c r="C320" s="318"/>
      <c r="D320" s="319"/>
      <c r="E320" s="319"/>
      <c r="F320" s="319"/>
      <c r="G320" s="319"/>
      <c r="H320" s="319"/>
      <c r="I320" s="319"/>
      <c r="J320" s="320"/>
      <c r="K320" s="318"/>
      <c r="L320" s="319"/>
      <c r="M320" s="319"/>
      <c r="N320" s="319"/>
      <c r="O320" s="318"/>
      <c r="P320" s="321"/>
      <c r="Q320" s="319"/>
      <c r="R320" s="322"/>
      <c r="S320" s="15"/>
      <c r="T320" s="15"/>
      <c r="U320" s="15"/>
      <c r="V320" s="15"/>
    </row>
    <row r="321" spans="1:22">
      <c r="A321" s="253"/>
      <c r="B321" s="234"/>
      <c r="C321" s="249"/>
      <c r="D321" s="250"/>
      <c r="E321" s="250"/>
      <c r="F321" s="250"/>
      <c r="G321" s="250"/>
      <c r="H321" s="250"/>
      <c r="I321" s="250"/>
      <c r="J321" s="251"/>
      <c r="K321" s="249"/>
      <c r="L321" s="250"/>
      <c r="M321" s="250"/>
      <c r="N321" s="250"/>
      <c r="O321" s="249"/>
      <c r="P321" s="249"/>
      <c r="Q321" s="250"/>
      <c r="R321" s="252"/>
      <c r="S321" s="15"/>
      <c r="T321" s="15"/>
      <c r="U321" s="15"/>
      <c r="V321" s="15"/>
    </row>
    <row r="322" spans="1:22">
      <c r="A322" s="253"/>
      <c r="B322" s="254"/>
      <c r="C322" s="255"/>
      <c r="D322" s="256"/>
      <c r="E322" s="256"/>
      <c r="F322" s="256"/>
      <c r="G322" s="256"/>
      <c r="H322" s="256"/>
      <c r="I322" s="256"/>
      <c r="J322" s="257"/>
      <c r="K322" s="255"/>
      <c r="L322" s="256"/>
      <c r="M322" s="256"/>
      <c r="N322" s="256"/>
      <c r="O322" s="255"/>
      <c r="P322" s="255"/>
      <c r="Q322" s="256"/>
      <c r="R322" s="258"/>
      <c r="S322" s="15"/>
      <c r="T322" s="15"/>
      <c r="U322" s="15"/>
      <c r="V322" s="15"/>
    </row>
    <row r="323" spans="1:22">
      <c r="A323" s="253"/>
      <c r="B323" s="317"/>
      <c r="C323" s="318"/>
      <c r="D323" s="319"/>
      <c r="E323" s="319"/>
      <c r="F323" s="319"/>
      <c r="G323" s="319"/>
      <c r="H323" s="319"/>
      <c r="I323" s="319"/>
      <c r="J323" s="320"/>
      <c r="K323" s="318"/>
      <c r="L323" s="319"/>
      <c r="M323" s="319"/>
      <c r="N323" s="319"/>
      <c r="O323" s="318"/>
      <c r="P323" s="321"/>
      <c r="Q323" s="319"/>
      <c r="R323" s="322"/>
      <c r="S323" s="15"/>
      <c r="T323" s="15"/>
      <c r="U323" s="15"/>
      <c r="V323" s="15"/>
    </row>
    <row r="324" spans="1:22">
      <c r="A324" s="253"/>
      <c r="B324" s="234"/>
      <c r="C324" s="249"/>
      <c r="D324" s="250"/>
      <c r="E324" s="250"/>
      <c r="F324" s="250"/>
      <c r="G324" s="250"/>
      <c r="H324" s="250"/>
      <c r="I324" s="250"/>
      <c r="J324" s="251"/>
      <c r="K324" s="249"/>
      <c r="L324" s="250"/>
      <c r="M324" s="250"/>
      <c r="N324" s="250"/>
      <c r="O324" s="249"/>
      <c r="P324" s="249"/>
      <c r="Q324" s="250"/>
      <c r="R324" s="252"/>
      <c r="S324" s="15"/>
      <c r="T324" s="15"/>
      <c r="U324" s="15"/>
      <c r="V324" s="15"/>
    </row>
    <row r="325" spans="1:22">
      <c r="A325" s="253"/>
      <c r="B325" s="254"/>
      <c r="C325" s="255"/>
      <c r="D325" s="256"/>
      <c r="E325" s="256"/>
      <c r="F325" s="256"/>
      <c r="G325" s="256"/>
      <c r="H325" s="256"/>
      <c r="I325" s="256"/>
      <c r="J325" s="257"/>
      <c r="K325" s="255"/>
      <c r="L325" s="256"/>
      <c r="M325" s="256"/>
      <c r="N325" s="256"/>
      <c r="O325" s="255"/>
      <c r="P325" s="255"/>
      <c r="Q325" s="256"/>
      <c r="R325" s="258"/>
      <c r="S325" s="15"/>
      <c r="T325" s="15"/>
      <c r="U325" s="15"/>
      <c r="V325" s="15"/>
    </row>
    <row r="326" spans="1:22">
      <c r="A326" s="253"/>
      <c r="B326" s="317"/>
      <c r="C326" s="318"/>
      <c r="D326" s="319"/>
      <c r="E326" s="319"/>
      <c r="F326" s="319"/>
      <c r="G326" s="319"/>
      <c r="H326" s="319"/>
      <c r="I326" s="319"/>
      <c r="J326" s="320"/>
      <c r="K326" s="318"/>
      <c r="L326" s="319"/>
      <c r="M326" s="319"/>
      <c r="N326" s="319"/>
      <c r="O326" s="318"/>
      <c r="P326" s="321"/>
      <c r="Q326" s="319"/>
      <c r="R326" s="322"/>
      <c r="S326" s="15"/>
      <c r="T326" s="15"/>
      <c r="U326" s="15"/>
      <c r="V326" s="15"/>
    </row>
    <row r="327" spans="1:22">
      <c r="A327" s="253"/>
      <c r="B327" s="234"/>
      <c r="C327" s="249"/>
      <c r="D327" s="250"/>
      <c r="E327" s="250"/>
      <c r="F327" s="250"/>
      <c r="G327" s="250"/>
      <c r="H327" s="250"/>
      <c r="I327" s="250"/>
      <c r="J327" s="251"/>
      <c r="K327" s="249"/>
      <c r="L327" s="250"/>
      <c r="M327" s="250"/>
      <c r="N327" s="250"/>
      <c r="O327" s="249"/>
      <c r="P327" s="249"/>
      <c r="Q327" s="250"/>
      <c r="R327" s="252"/>
      <c r="S327" s="15"/>
      <c r="T327" s="15"/>
      <c r="U327" s="15"/>
      <c r="V327" s="15"/>
    </row>
    <row r="328" spans="1:22">
      <c r="A328" s="253"/>
      <c r="B328" s="254"/>
      <c r="C328" s="255"/>
      <c r="D328" s="256"/>
      <c r="E328" s="256"/>
      <c r="F328" s="256"/>
      <c r="G328" s="256"/>
      <c r="H328" s="256"/>
      <c r="I328" s="256"/>
      <c r="J328" s="257"/>
      <c r="K328" s="255"/>
      <c r="L328" s="256"/>
      <c r="M328" s="256"/>
      <c r="N328" s="256"/>
      <c r="O328" s="255"/>
      <c r="P328" s="255"/>
      <c r="Q328" s="256"/>
      <c r="R328" s="258"/>
      <c r="S328" s="15"/>
      <c r="T328" s="15"/>
      <c r="U328" s="15"/>
      <c r="V328" s="15"/>
    </row>
    <row r="329" spans="1:22">
      <c r="A329" s="260"/>
      <c r="B329" s="317"/>
      <c r="C329" s="318"/>
      <c r="D329" s="319"/>
      <c r="E329" s="319"/>
      <c r="F329" s="319"/>
      <c r="G329" s="319"/>
      <c r="H329" s="319"/>
      <c r="I329" s="319"/>
      <c r="J329" s="320"/>
      <c r="K329" s="318"/>
      <c r="L329" s="319"/>
      <c r="M329" s="319"/>
      <c r="N329" s="319"/>
      <c r="O329" s="318"/>
      <c r="P329" s="321"/>
      <c r="Q329" s="319"/>
      <c r="R329" s="322"/>
      <c r="S329" s="15"/>
      <c r="T329" s="15"/>
      <c r="U329" s="15"/>
      <c r="V329" s="15"/>
    </row>
    <row r="330" spans="1:22">
      <c r="A330" s="248"/>
      <c r="B330" s="234"/>
      <c r="C330" s="249"/>
      <c r="D330" s="250"/>
      <c r="E330" s="250"/>
      <c r="F330" s="250"/>
      <c r="G330" s="250"/>
      <c r="H330" s="250"/>
      <c r="I330" s="250"/>
      <c r="J330" s="251"/>
      <c r="K330" s="249"/>
      <c r="L330" s="250"/>
      <c r="M330" s="250"/>
      <c r="N330" s="250"/>
      <c r="O330" s="249"/>
      <c r="P330" s="249"/>
      <c r="Q330" s="250"/>
      <c r="R330" s="252"/>
      <c r="S330" s="15"/>
      <c r="T330" s="15"/>
      <c r="U330" s="15"/>
      <c r="V330" s="15"/>
    </row>
    <row r="331" spans="1:22">
      <c r="A331" s="253"/>
      <c r="B331" s="254"/>
      <c r="C331" s="255"/>
      <c r="D331" s="256"/>
      <c r="E331" s="256"/>
      <c r="F331" s="256"/>
      <c r="G331" s="256"/>
      <c r="H331" s="256"/>
      <c r="I331" s="256"/>
      <c r="J331" s="257"/>
      <c r="K331" s="255"/>
      <c r="L331" s="256"/>
      <c r="M331" s="256"/>
      <c r="N331" s="256"/>
      <c r="O331" s="255"/>
      <c r="P331" s="255"/>
      <c r="Q331" s="256"/>
      <c r="R331" s="258"/>
      <c r="S331" s="15"/>
      <c r="T331" s="15"/>
      <c r="U331" s="15"/>
      <c r="V331" s="15"/>
    </row>
    <row r="332" spans="1:22">
      <c r="A332" s="253"/>
      <c r="B332" s="317"/>
      <c r="C332" s="318"/>
      <c r="D332" s="319"/>
      <c r="E332" s="319"/>
      <c r="F332" s="319"/>
      <c r="G332" s="319"/>
      <c r="H332" s="319"/>
      <c r="I332" s="319"/>
      <c r="J332" s="320"/>
      <c r="K332" s="318"/>
      <c r="L332" s="319"/>
      <c r="M332" s="319"/>
      <c r="N332" s="319"/>
      <c r="O332" s="318"/>
      <c r="P332" s="321"/>
      <c r="Q332" s="319"/>
      <c r="R332" s="322"/>
      <c r="S332" s="15"/>
      <c r="T332" s="15"/>
      <c r="U332" s="15"/>
      <c r="V332" s="15"/>
    </row>
    <row r="333" spans="1:22">
      <c r="A333" s="253"/>
      <c r="B333" s="234"/>
      <c r="C333" s="249"/>
      <c r="D333" s="250"/>
      <c r="E333" s="250"/>
      <c r="F333" s="250"/>
      <c r="G333" s="250"/>
      <c r="H333" s="250"/>
      <c r="I333" s="250"/>
      <c r="J333" s="251"/>
      <c r="K333" s="249"/>
      <c r="L333" s="250"/>
      <c r="M333" s="250"/>
      <c r="N333" s="250"/>
      <c r="O333" s="249"/>
      <c r="P333" s="249"/>
      <c r="Q333" s="250"/>
      <c r="R333" s="252"/>
      <c r="S333" s="15"/>
      <c r="T333" s="15"/>
      <c r="U333" s="15"/>
      <c r="V333" s="15"/>
    </row>
    <row r="334" spans="1:22">
      <c r="A334" s="253"/>
      <c r="B334" s="254"/>
      <c r="C334" s="255"/>
      <c r="D334" s="256"/>
      <c r="E334" s="256"/>
      <c r="F334" s="256"/>
      <c r="G334" s="256"/>
      <c r="H334" s="256"/>
      <c r="I334" s="256"/>
      <c r="J334" s="257"/>
      <c r="K334" s="255"/>
      <c r="L334" s="256"/>
      <c r="M334" s="256"/>
      <c r="N334" s="256"/>
      <c r="O334" s="255"/>
      <c r="P334" s="255"/>
      <c r="Q334" s="256"/>
      <c r="R334" s="258"/>
      <c r="S334" s="15"/>
      <c r="T334" s="15"/>
      <c r="U334" s="15"/>
      <c r="V334" s="15"/>
    </row>
    <row r="335" spans="1:22">
      <c r="A335" s="253"/>
      <c r="B335" s="317"/>
      <c r="C335" s="318"/>
      <c r="D335" s="319"/>
      <c r="E335" s="319"/>
      <c r="F335" s="319"/>
      <c r="G335" s="319"/>
      <c r="H335" s="319"/>
      <c r="I335" s="319"/>
      <c r="J335" s="320"/>
      <c r="K335" s="318"/>
      <c r="L335" s="319"/>
      <c r="M335" s="319"/>
      <c r="N335" s="319"/>
      <c r="O335" s="318"/>
      <c r="P335" s="321"/>
      <c r="Q335" s="319"/>
      <c r="R335" s="322"/>
      <c r="S335" s="15"/>
      <c r="T335" s="15"/>
      <c r="U335" s="15"/>
      <c r="V335" s="15"/>
    </row>
    <row r="336" spans="1:22">
      <c r="A336" s="253"/>
      <c r="B336" s="234"/>
      <c r="C336" s="249"/>
      <c r="D336" s="250"/>
      <c r="E336" s="250"/>
      <c r="F336" s="250"/>
      <c r="G336" s="250"/>
      <c r="H336" s="250"/>
      <c r="I336" s="250"/>
      <c r="J336" s="251"/>
      <c r="K336" s="249"/>
      <c r="L336" s="250"/>
      <c r="M336" s="250"/>
      <c r="N336" s="250"/>
      <c r="O336" s="249"/>
      <c r="P336" s="249"/>
      <c r="Q336" s="250"/>
      <c r="R336" s="252"/>
      <c r="S336" s="15"/>
      <c r="T336" s="15"/>
      <c r="U336" s="15"/>
      <c r="V336" s="15"/>
    </row>
    <row r="337" spans="1:22">
      <c r="A337" s="253"/>
      <c r="B337" s="254"/>
      <c r="C337" s="255"/>
      <c r="D337" s="256"/>
      <c r="E337" s="256"/>
      <c r="F337" s="256"/>
      <c r="G337" s="256"/>
      <c r="H337" s="256"/>
      <c r="I337" s="256"/>
      <c r="J337" s="257"/>
      <c r="K337" s="255"/>
      <c r="L337" s="256"/>
      <c r="M337" s="256"/>
      <c r="N337" s="256"/>
      <c r="O337" s="255"/>
      <c r="P337" s="255"/>
      <c r="Q337" s="256"/>
      <c r="R337" s="258"/>
      <c r="S337" s="15"/>
      <c r="T337" s="15"/>
      <c r="U337" s="15"/>
      <c r="V337" s="15"/>
    </row>
    <row r="338" spans="1:22">
      <c r="A338" s="253"/>
      <c r="B338" s="317"/>
      <c r="C338" s="318"/>
      <c r="D338" s="319"/>
      <c r="E338" s="319"/>
      <c r="F338" s="319"/>
      <c r="G338" s="319"/>
      <c r="H338" s="319"/>
      <c r="I338" s="319"/>
      <c r="J338" s="320"/>
      <c r="K338" s="318"/>
      <c r="L338" s="319"/>
      <c r="M338" s="319"/>
      <c r="N338" s="319"/>
      <c r="O338" s="318"/>
      <c r="P338" s="321"/>
      <c r="Q338" s="319"/>
      <c r="R338" s="322"/>
      <c r="S338" s="15"/>
      <c r="T338" s="15"/>
      <c r="U338" s="15"/>
      <c r="V338" s="15"/>
    </row>
    <row r="339" spans="1:22">
      <c r="A339" s="253"/>
      <c r="B339" s="234"/>
      <c r="C339" s="249"/>
      <c r="D339" s="250"/>
      <c r="E339" s="250"/>
      <c r="F339" s="250"/>
      <c r="G339" s="250"/>
      <c r="H339" s="250"/>
      <c r="I339" s="250"/>
      <c r="J339" s="251"/>
      <c r="K339" s="249"/>
      <c r="L339" s="250"/>
      <c r="M339" s="250"/>
      <c r="N339" s="250"/>
      <c r="O339" s="249"/>
      <c r="P339" s="249"/>
      <c r="Q339" s="250"/>
      <c r="R339" s="252"/>
      <c r="S339" s="15"/>
      <c r="T339" s="15"/>
      <c r="U339" s="15"/>
      <c r="V339" s="15"/>
    </row>
    <row r="340" spans="1:22">
      <c r="A340" s="253"/>
      <c r="B340" s="254"/>
      <c r="C340" s="255"/>
      <c r="D340" s="256"/>
      <c r="E340" s="256"/>
      <c r="F340" s="256"/>
      <c r="G340" s="256"/>
      <c r="H340" s="256"/>
      <c r="I340" s="256"/>
      <c r="J340" s="257"/>
      <c r="K340" s="255"/>
      <c r="L340" s="256"/>
      <c r="M340" s="256"/>
      <c r="N340" s="256"/>
      <c r="O340" s="255"/>
      <c r="P340" s="255"/>
      <c r="Q340" s="256"/>
      <c r="R340" s="258"/>
      <c r="S340" s="15"/>
      <c r="T340" s="15"/>
      <c r="U340" s="15"/>
      <c r="V340" s="15"/>
    </row>
    <row r="341" spans="1:22">
      <c r="A341" s="253"/>
      <c r="B341" s="317"/>
      <c r="C341" s="318"/>
      <c r="D341" s="319"/>
      <c r="E341" s="319"/>
      <c r="F341" s="319"/>
      <c r="G341" s="319"/>
      <c r="H341" s="319"/>
      <c r="I341" s="319"/>
      <c r="J341" s="320"/>
      <c r="K341" s="318"/>
      <c r="L341" s="319"/>
      <c r="M341" s="319"/>
      <c r="N341" s="319"/>
      <c r="O341" s="318"/>
      <c r="P341" s="321"/>
      <c r="Q341" s="319"/>
      <c r="R341" s="322"/>
      <c r="S341" s="15"/>
      <c r="T341" s="15"/>
      <c r="U341" s="15"/>
      <c r="V341" s="15"/>
    </row>
    <row r="342" spans="1:22">
      <c r="A342" s="253"/>
      <c r="B342" s="234"/>
      <c r="C342" s="249"/>
      <c r="D342" s="250"/>
      <c r="E342" s="250"/>
      <c r="F342" s="250"/>
      <c r="G342" s="250"/>
      <c r="H342" s="250"/>
      <c r="I342" s="250"/>
      <c r="J342" s="251"/>
      <c r="K342" s="249"/>
      <c r="L342" s="250"/>
      <c r="M342" s="250"/>
      <c r="N342" s="250"/>
      <c r="O342" s="249"/>
      <c r="P342" s="249"/>
      <c r="Q342" s="250"/>
      <c r="R342" s="252"/>
      <c r="S342" s="15"/>
      <c r="T342" s="15"/>
      <c r="U342" s="15"/>
      <c r="V342" s="15"/>
    </row>
    <row r="343" spans="1:22">
      <c r="A343" s="253"/>
      <c r="B343" s="254"/>
      <c r="C343" s="255"/>
      <c r="D343" s="256"/>
      <c r="E343" s="256"/>
      <c r="F343" s="256"/>
      <c r="G343" s="256"/>
      <c r="H343" s="256"/>
      <c r="I343" s="256"/>
      <c r="J343" s="257"/>
      <c r="K343" s="255"/>
      <c r="L343" s="256"/>
      <c r="M343" s="256"/>
      <c r="N343" s="256"/>
      <c r="O343" s="255"/>
      <c r="P343" s="255"/>
      <c r="Q343" s="256"/>
      <c r="R343" s="258"/>
      <c r="S343" s="15"/>
      <c r="T343" s="15"/>
      <c r="U343" s="15"/>
      <c r="V343" s="15"/>
    </row>
    <row r="344" spans="1:22">
      <c r="A344" s="253"/>
      <c r="B344" s="317"/>
      <c r="C344" s="318"/>
      <c r="D344" s="319"/>
      <c r="E344" s="319"/>
      <c r="F344" s="319"/>
      <c r="G344" s="319"/>
      <c r="H344" s="319"/>
      <c r="I344" s="319"/>
      <c r="J344" s="320"/>
      <c r="K344" s="318"/>
      <c r="L344" s="319"/>
      <c r="M344" s="319"/>
      <c r="N344" s="319"/>
      <c r="O344" s="318"/>
      <c r="P344" s="321"/>
      <c r="Q344" s="319"/>
      <c r="R344" s="322"/>
      <c r="S344" s="15"/>
      <c r="T344" s="15"/>
      <c r="U344" s="15"/>
      <c r="V344" s="15"/>
    </row>
    <row r="345" spans="1:22">
      <c r="A345" s="253"/>
      <c r="B345" s="234"/>
      <c r="C345" s="249"/>
      <c r="D345" s="250"/>
      <c r="E345" s="250"/>
      <c r="F345" s="250"/>
      <c r="G345" s="250"/>
      <c r="H345" s="250"/>
      <c r="I345" s="250"/>
      <c r="J345" s="251"/>
      <c r="K345" s="249"/>
      <c r="L345" s="250"/>
      <c r="M345" s="250"/>
      <c r="N345" s="250"/>
      <c r="O345" s="249"/>
      <c r="P345" s="249"/>
      <c r="Q345" s="250"/>
      <c r="R345" s="252"/>
      <c r="S345" s="15"/>
      <c r="T345" s="15"/>
      <c r="U345" s="15"/>
      <c r="V345" s="15"/>
    </row>
    <row r="346" spans="1:22">
      <c r="A346" s="253"/>
      <c r="B346" s="254"/>
      <c r="C346" s="255"/>
      <c r="D346" s="256"/>
      <c r="E346" s="256"/>
      <c r="F346" s="256"/>
      <c r="G346" s="256"/>
      <c r="H346" s="256"/>
      <c r="I346" s="256"/>
      <c r="J346" s="257"/>
      <c r="K346" s="255"/>
      <c r="L346" s="256"/>
      <c r="M346" s="256"/>
      <c r="N346" s="256"/>
      <c r="O346" s="255"/>
      <c r="P346" s="255"/>
      <c r="Q346" s="256"/>
      <c r="R346" s="258"/>
      <c r="S346" s="15"/>
      <c r="T346" s="15"/>
      <c r="U346" s="15"/>
      <c r="V346" s="15"/>
    </row>
    <row r="347" spans="1:22">
      <c r="A347" s="253"/>
      <c r="B347" s="317"/>
      <c r="C347" s="318"/>
      <c r="D347" s="319"/>
      <c r="E347" s="319"/>
      <c r="F347" s="319"/>
      <c r="G347" s="319"/>
      <c r="H347" s="319"/>
      <c r="I347" s="319"/>
      <c r="J347" s="320"/>
      <c r="K347" s="318"/>
      <c r="L347" s="319"/>
      <c r="M347" s="319"/>
      <c r="N347" s="319"/>
      <c r="O347" s="318"/>
      <c r="P347" s="321"/>
      <c r="Q347" s="319"/>
      <c r="R347" s="322"/>
      <c r="S347" s="15"/>
      <c r="T347" s="15"/>
      <c r="U347" s="15"/>
      <c r="V347" s="15"/>
    </row>
    <row r="348" spans="1:22">
      <c r="A348" s="253"/>
      <c r="B348" s="234"/>
      <c r="C348" s="249"/>
      <c r="D348" s="250"/>
      <c r="E348" s="250"/>
      <c r="F348" s="250"/>
      <c r="G348" s="250"/>
      <c r="H348" s="250"/>
      <c r="I348" s="250"/>
      <c r="J348" s="251"/>
      <c r="K348" s="249"/>
      <c r="L348" s="250"/>
      <c r="M348" s="250"/>
      <c r="N348" s="250"/>
      <c r="O348" s="249"/>
      <c r="P348" s="249"/>
      <c r="Q348" s="250"/>
      <c r="R348" s="252"/>
      <c r="S348" s="15"/>
      <c r="T348" s="15"/>
      <c r="U348" s="15"/>
      <c r="V348" s="15"/>
    </row>
    <row r="349" spans="1:22">
      <c r="A349" s="253"/>
      <c r="B349" s="254"/>
      <c r="C349" s="255"/>
      <c r="D349" s="256"/>
      <c r="E349" s="256"/>
      <c r="F349" s="256"/>
      <c r="G349" s="256"/>
      <c r="H349" s="256"/>
      <c r="I349" s="256"/>
      <c r="J349" s="257"/>
      <c r="K349" s="255"/>
      <c r="L349" s="256"/>
      <c r="M349" s="256"/>
      <c r="N349" s="256"/>
      <c r="O349" s="255"/>
      <c r="P349" s="255"/>
      <c r="Q349" s="256"/>
      <c r="R349" s="258"/>
      <c r="S349" s="15"/>
      <c r="T349" s="15"/>
      <c r="U349" s="15"/>
      <c r="V349" s="15"/>
    </row>
    <row r="350" spans="1:22">
      <c r="A350" s="253"/>
      <c r="B350" s="317"/>
      <c r="C350" s="318"/>
      <c r="D350" s="319"/>
      <c r="E350" s="319"/>
      <c r="F350" s="319"/>
      <c r="G350" s="331"/>
      <c r="H350" s="331"/>
      <c r="I350" s="319"/>
      <c r="J350" s="320"/>
      <c r="K350" s="318"/>
      <c r="L350" s="319"/>
      <c r="M350" s="319"/>
      <c r="N350" s="319"/>
      <c r="O350" s="318"/>
      <c r="P350" s="321"/>
      <c r="Q350" s="319"/>
      <c r="R350" s="322"/>
      <c r="S350" s="15"/>
      <c r="T350" s="15"/>
      <c r="U350" s="15"/>
      <c r="V350" s="15"/>
    </row>
    <row r="351" spans="1:22">
      <c r="A351" s="253"/>
      <c r="B351" s="234"/>
      <c r="C351" s="249"/>
      <c r="D351" s="250"/>
      <c r="E351" s="250"/>
      <c r="F351" s="250"/>
      <c r="G351" s="250"/>
      <c r="H351" s="250"/>
      <c r="I351" s="250"/>
      <c r="J351" s="251"/>
      <c r="K351" s="249"/>
      <c r="L351" s="250"/>
      <c r="M351" s="250"/>
      <c r="N351" s="250"/>
      <c r="O351" s="249"/>
      <c r="P351" s="249"/>
      <c r="Q351" s="250"/>
      <c r="R351" s="252"/>
      <c r="S351" s="15"/>
      <c r="T351" s="15"/>
      <c r="U351" s="15"/>
      <c r="V351" s="15"/>
    </row>
    <row r="352" spans="1:22">
      <c r="A352" s="253"/>
      <c r="B352" s="254"/>
      <c r="C352" s="255"/>
      <c r="D352" s="256"/>
      <c r="E352" s="256"/>
      <c r="F352" s="256"/>
      <c r="G352" s="256"/>
      <c r="H352" s="256"/>
      <c r="I352" s="256"/>
      <c r="J352" s="257"/>
      <c r="K352" s="255"/>
      <c r="L352" s="256"/>
      <c r="M352" s="256"/>
      <c r="N352" s="256"/>
      <c r="O352" s="255"/>
      <c r="P352" s="255"/>
      <c r="Q352" s="256"/>
      <c r="R352" s="258"/>
      <c r="S352" s="15"/>
      <c r="T352" s="15"/>
      <c r="U352" s="15"/>
      <c r="V352" s="15"/>
    </row>
    <row r="353" spans="1:22">
      <c r="A353" s="253"/>
      <c r="B353" s="317"/>
      <c r="C353" s="318"/>
      <c r="D353" s="319"/>
      <c r="E353" s="319"/>
      <c r="F353" s="319"/>
      <c r="G353" s="319"/>
      <c r="H353" s="319"/>
      <c r="I353" s="319"/>
      <c r="J353" s="320"/>
      <c r="K353" s="318"/>
      <c r="L353" s="319"/>
      <c r="M353" s="319"/>
      <c r="N353" s="319"/>
      <c r="O353" s="318"/>
      <c r="P353" s="321"/>
      <c r="Q353" s="319"/>
      <c r="R353" s="322"/>
      <c r="S353" s="15"/>
      <c r="T353" s="15"/>
      <c r="U353" s="15"/>
      <c r="V353" s="15"/>
    </row>
    <row r="354" spans="1:22">
      <c r="A354" s="253"/>
      <c r="B354" s="234"/>
      <c r="C354" s="249"/>
      <c r="D354" s="250"/>
      <c r="E354" s="250"/>
      <c r="F354" s="250"/>
      <c r="G354" s="250"/>
      <c r="H354" s="250"/>
      <c r="I354" s="250"/>
      <c r="J354" s="251"/>
      <c r="K354" s="249"/>
      <c r="L354" s="250"/>
      <c r="M354" s="250"/>
      <c r="N354" s="250"/>
      <c r="O354" s="249"/>
      <c r="P354" s="249"/>
      <c r="Q354" s="250"/>
      <c r="R354" s="252"/>
      <c r="S354" s="15"/>
      <c r="T354" s="15"/>
      <c r="U354" s="15"/>
      <c r="V354" s="15"/>
    </row>
    <row r="355" spans="1:22">
      <c r="A355" s="253"/>
      <c r="B355" s="254"/>
      <c r="C355" s="255"/>
      <c r="D355" s="256"/>
      <c r="E355" s="256"/>
      <c r="F355" s="256"/>
      <c r="G355" s="256"/>
      <c r="H355" s="256"/>
      <c r="I355" s="256"/>
      <c r="J355" s="257"/>
      <c r="K355" s="255"/>
      <c r="L355" s="256"/>
      <c r="M355" s="256"/>
      <c r="N355" s="256"/>
      <c r="O355" s="255"/>
      <c r="P355" s="255"/>
      <c r="Q355" s="256"/>
      <c r="R355" s="258"/>
      <c r="S355" s="15"/>
      <c r="T355" s="15"/>
      <c r="U355" s="15"/>
      <c r="V355" s="15"/>
    </row>
    <row r="356" spans="1:22">
      <c r="A356" s="253"/>
      <c r="B356" s="317"/>
      <c r="C356" s="318"/>
      <c r="D356" s="319"/>
      <c r="E356" s="319"/>
      <c r="F356" s="319"/>
      <c r="G356" s="331"/>
      <c r="H356" s="331"/>
      <c r="I356" s="319"/>
      <c r="J356" s="320"/>
      <c r="K356" s="318"/>
      <c r="L356" s="319"/>
      <c r="M356" s="319"/>
      <c r="N356" s="319"/>
      <c r="O356" s="318"/>
      <c r="P356" s="321"/>
      <c r="Q356" s="319"/>
      <c r="R356" s="322"/>
      <c r="S356" s="15"/>
      <c r="T356" s="15"/>
      <c r="U356" s="15"/>
      <c r="V356" s="15"/>
    </row>
    <row r="357" spans="1:22">
      <c r="A357" s="253"/>
      <c r="B357" s="234"/>
      <c r="C357" s="249"/>
      <c r="D357" s="250"/>
      <c r="E357" s="250"/>
      <c r="F357" s="250"/>
      <c r="G357" s="250"/>
      <c r="H357" s="250"/>
      <c r="I357" s="250"/>
      <c r="J357" s="251"/>
      <c r="K357" s="249"/>
      <c r="L357" s="250"/>
      <c r="M357" s="250"/>
      <c r="N357" s="250"/>
      <c r="O357" s="249"/>
      <c r="P357" s="249"/>
      <c r="Q357" s="250"/>
      <c r="R357" s="252"/>
      <c r="S357" s="15"/>
      <c r="T357" s="15"/>
      <c r="U357" s="15"/>
      <c r="V357" s="15"/>
    </row>
    <row r="358" spans="1:22">
      <c r="A358" s="253"/>
      <c r="B358" s="254"/>
      <c r="C358" s="255"/>
      <c r="D358" s="256"/>
      <c r="E358" s="256"/>
      <c r="F358" s="256"/>
      <c r="G358" s="256"/>
      <c r="H358" s="256"/>
      <c r="I358" s="256"/>
      <c r="J358" s="257"/>
      <c r="K358" s="255"/>
      <c r="L358" s="256"/>
      <c r="M358" s="256"/>
      <c r="N358" s="256"/>
      <c r="O358" s="255"/>
      <c r="P358" s="255"/>
      <c r="Q358" s="256"/>
      <c r="R358" s="258"/>
      <c r="S358" s="15"/>
      <c r="T358" s="15"/>
      <c r="U358" s="15"/>
      <c r="V358" s="15"/>
    </row>
    <row r="359" spans="1:22">
      <c r="A359" s="253"/>
      <c r="B359" s="317"/>
      <c r="C359" s="318"/>
      <c r="D359" s="319"/>
      <c r="E359" s="319"/>
      <c r="F359" s="319"/>
      <c r="G359" s="319"/>
      <c r="H359" s="319"/>
      <c r="I359" s="319"/>
      <c r="J359" s="320"/>
      <c r="K359" s="318"/>
      <c r="L359" s="319"/>
      <c r="M359" s="319"/>
      <c r="N359" s="319"/>
      <c r="O359" s="318"/>
      <c r="P359" s="321"/>
      <c r="Q359" s="319"/>
      <c r="R359" s="322"/>
      <c r="S359" s="15"/>
      <c r="T359" s="15"/>
      <c r="U359" s="15"/>
      <c r="V359" s="15"/>
    </row>
    <row r="360" spans="1:22">
      <c r="A360" s="253"/>
      <c r="B360" s="234"/>
      <c r="C360" s="249"/>
      <c r="D360" s="250"/>
      <c r="E360" s="250"/>
      <c r="F360" s="250"/>
      <c r="G360" s="250"/>
      <c r="H360" s="250"/>
      <c r="I360" s="250"/>
      <c r="J360" s="251"/>
      <c r="K360" s="249"/>
      <c r="L360" s="250"/>
      <c r="M360" s="250"/>
      <c r="N360" s="250"/>
      <c r="O360" s="249"/>
      <c r="P360" s="249"/>
      <c r="Q360" s="250"/>
      <c r="R360" s="252"/>
      <c r="S360" s="15"/>
      <c r="T360" s="15"/>
      <c r="U360" s="15"/>
      <c r="V360" s="15"/>
    </row>
    <row r="361" spans="1:22">
      <c r="A361" s="253"/>
      <c r="B361" s="254"/>
      <c r="C361" s="255"/>
      <c r="D361" s="256"/>
      <c r="E361" s="256"/>
      <c r="F361" s="256"/>
      <c r="G361" s="256"/>
      <c r="H361" s="256"/>
      <c r="I361" s="256"/>
      <c r="J361" s="257"/>
      <c r="K361" s="255"/>
      <c r="L361" s="256"/>
      <c r="M361" s="256"/>
      <c r="N361" s="256"/>
      <c r="O361" s="255"/>
      <c r="P361" s="255"/>
      <c r="Q361" s="256"/>
      <c r="R361" s="258"/>
      <c r="S361" s="15"/>
      <c r="T361" s="15"/>
      <c r="U361" s="15"/>
      <c r="V361" s="15"/>
    </row>
    <row r="362" spans="1:22">
      <c r="A362" s="253"/>
      <c r="B362" s="317"/>
      <c r="C362" s="318"/>
      <c r="D362" s="319"/>
      <c r="E362" s="319"/>
      <c r="F362" s="319"/>
      <c r="G362" s="319"/>
      <c r="H362" s="319"/>
      <c r="I362" s="319"/>
      <c r="J362" s="320"/>
      <c r="K362" s="318"/>
      <c r="L362" s="319"/>
      <c r="M362" s="319"/>
      <c r="N362" s="319"/>
      <c r="O362" s="318"/>
      <c r="P362" s="321"/>
      <c r="Q362" s="319"/>
      <c r="R362" s="322"/>
      <c r="S362" s="15"/>
      <c r="T362" s="15"/>
      <c r="U362" s="15"/>
      <c r="V362" s="15"/>
    </row>
    <row r="363" spans="1:22">
      <c r="A363" s="253"/>
      <c r="B363" s="234"/>
      <c r="C363" s="249"/>
      <c r="D363" s="250"/>
      <c r="E363" s="250"/>
      <c r="F363" s="250"/>
      <c r="G363" s="250"/>
      <c r="H363" s="250"/>
      <c r="I363" s="250"/>
      <c r="J363" s="251"/>
      <c r="K363" s="249"/>
      <c r="L363" s="250"/>
      <c r="M363" s="250"/>
      <c r="N363" s="250"/>
      <c r="O363" s="249"/>
      <c r="P363" s="249"/>
      <c r="Q363" s="250"/>
      <c r="R363" s="252"/>
      <c r="S363" s="15"/>
      <c r="T363" s="15"/>
      <c r="U363" s="15"/>
      <c r="V363" s="15"/>
    </row>
    <row r="364" spans="1:22">
      <c r="A364" s="253"/>
      <c r="B364" s="254"/>
      <c r="C364" s="255"/>
      <c r="D364" s="256"/>
      <c r="E364" s="256"/>
      <c r="F364" s="256"/>
      <c r="G364" s="256"/>
      <c r="H364" s="256"/>
      <c r="I364" s="256"/>
      <c r="J364" s="257"/>
      <c r="K364" s="255"/>
      <c r="L364" s="256"/>
      <c r="M364" s="256"/>
      <c r="N364" s="256"/>
      <c r="O364" s="255"/>
      <c r="P364" s="255"/>
      <c r="Q364" s="256"/>
      <c r="R364" s="258"/>
      <c r="S364" s="15"/>
      <c r="T364" s="15"/>
      <c r="U364" s="15"/>
      <c r="V364" s="15"/>
    </row>
    <row r="365" spans="1:22">
      <c r="A365" s="260"/>
      <c r="B365" s="317"/>
      <c r="C365" s="318"/>
      <c r="D365" s="319"/>
      <c r="E365" s="319"/>
      <c r="F365" s="319"/>
      <c r="G365" s="319"/>
      <c r="H365" s="319"/>
      <c r="I365" s="319"/>
      <c r="J365" s="320"/>
      <c r="K365" s="318"/>
      <c r="L365" s="319"/>
      <c r="M365" s="319"/>
      <c r="N365" s="319"/>
      <c r="O365" s="318"/>
      <c r="P365" s="321"/>
      <c r="Q365" s="319"/>
      <c r="R365" s="322"/>
      <c r="S365" s="15"/>
      <c r="T365" s="15"/>
      <c r="U365" s="15"/>
      <c r="V365" s="15"/>
    </row>
    <row r="366" spans="1:22">
      <c r="A366" s="248"/>
      <c r="B366" s="234"/>
      <c r="C366" s="249"/>
      <c r="D366" s="250"/>
      <c r="E366" s="250"/>
      <c r="F366" s="250"/>
      <c r="G366" s="250"/>
      <c r="H366" s="250"/>
      <c r="I366" s="250"/>
      <c r="J366" s="251"/>
      <c r="K366" s="249"/>
      <c r="L366" s="250"/>
      <c r="M366" s="250"/>
      <c r="N366" s="250"/>
      <c r="O366" s="249"/>
      <c r="P366" s="249"/>
      <c r="Q366" s="250"/>
      <c r="R366" s="252"/>
      <c r="S366" s="15"/>
      <c r="T366" s="15"/>
      <c r="U366" s="15"/>
      <c r="V366" s="15"/>
    </row>
    <row r="367" spans="1:22">
      <c r="A367" s="253"/>
      <c r="B367" s="254"/>
      <c r="C367" s="255"/>
      <c r="D367" s="256"/>
      <c r="E367" s="256"/>
      <c r="F367" s="256"/>
      <c r="G367" s="256"/>
      <c r="H367" s="256"/>
      <c r="I367" s="256"/>
      <c r="J367" s="257"/>
      <c r="K367" s="255"/>
      <c r="L367" s="256"/>
      <c r="M367" s="256"/>
      <c r="N367" s="256"/>
      <c r="O367" s="255"/>
      <c r="P367" s="255"/>
      <c r="Q367" s="256"/>
      <c r="R367" s="258"/>
      <c r="S367" s="15"/>
      <c r="T367" s="15"/>
      <c r="U367" s="15"/>
      <c r="V367" s="15"/>
    </row>
    <row r="368" spans="1:22">
      <c r="A368" s="253"/>
      <c r="B368" s="317"/>
      <c r="C368" s="318"/>
      <c r="D368" s="319"/>
      <c r="E368" s="319"/>
      <c r="F368" s="319"/>
      <c r="G368" s="319"/>
      <c r="H368" s="319"/>
      <c r="I368" s="319"/>
      <c r="J368" s="320"/>
      <c r="K368" s="318"/>
      <c r="L368" s="331"/>
      <c r="M368" s="319"/>
      <c r="N368" s="319"/>
      <c r="O368" s="318"/>
      <c r="P368" s="321"/>
      <c r="Q368" s="319"/>
      <c r="R368" s="322"/>
      <c r="S368" s="15"/>
      <c r="T368" s="15"/>
      <c r="U368" s="15"/>
      <c r="V368" s="15"/>
    </row>
    <row r="369" spans="1:22">
      <c r="A369" s="253"/>
      <c r="B369" s="234"/>
      <c r="C369" s="249"/>
      <c r="D369" s="250"/>
      <c r="E369" s="250"/>
      <c r="F369" s="250"/>
      <c r="G369" s="250"/>
      <c r="H369" s="250"/>
      <c r="I369" s="250"/>
      <c r="J369" s="251"/>
      <c r="K369" s="249"/>
      <c r="L369" s="250"/>
      <c r="M369" s="250"/>
      <c r="N369" s="250"/>
      <c r="O369" s="249"/>
      <c r="P369" s="249"/>
      <c r="Q369" s="250"/>
      <c r="R369" s="252"/>
      <c r="S369" s="15"/>
      <c r="T369" s="15"/>
      <c r="U369" s="15"/>
      <c r="V369" s="15"/>
    </row>
    <row r="370" spans="1:22">
      <c r="A370" s="253"/>
      <c r="B370" s="254"/>
      <c r="C370" s="255"/>
      <c r="D370" s="256"/>
      <c r="E370" s="256"/>
      <c r="F370" s="256"/>
      <c r="G370" s="256"/>
      <c r="H370" s="256"/>
      <c r="I370" s="256"/>
      <c r="J370" s="257"/>
      <c r="K370" s="255"/>
      <c r="L370" s="256"/>
      <c r="M370" s="256"/>
      <c r="N370" s="256"/>
      <c r="O370" s="255"/>
      <c r="P370" s="255"/>
      <c r="Q370" s="256"/>
      <c r="R370" s="258"/>
      <c r="S370" s="15"/>
      <c r="T370" s="15"/>
      <c r="U370" s="15"/>
      <c r="V370" s="15"/>
    </row>
    <row r="371" spans="1:22">
      <c r="A371" s="253"/>
      <c r="B371" s="317"/>
      <c r="C371" s="318"/>
      <c r="D371" s="319"/>
      <c r="E371" s="319"/>
      <c r="F371" s="319"/>
      <c r="G371" s="319"/>
      <c r="H371" s="319"/>
      <c r="I371" s="319"/>
      <c r="J371" s="320"/>
      <c r="K371" s="318"/>
      <c r="L371" s="319"/>
      <c r="M371" s="319"/>
      <c r="N371" s="319"/>
      <c r="O371" s="318"/>
      <c r="P371" s="321"/>
      <c r="Q371" s="319"/>
      <c r="R371" s="322"/>
      <c r="S371" s="15"/>
      <c r="T371" s="15"/>
      <c r="U371" s="15"/>
      <c r="V371" s="15"/>
    </row>
    <row r="372" spans="1:22">
      <c r="A372" s="253"/>
      <c r="B372" s="234"/>
      <c r="C372" s="249"/>
      <c r="D372" s="250"/>
      <c r="E372" s="250"/>
      <c r="F372" s="250"/>
      <c r="G372" s="250"/>
      <c r="H372" s="250"/>
      <c r="I372" s="250"/>
      <c r="J372" s="251"/>
      <c r="K372" s="249"/>
      <c r="L372" s="250"/>
      <c r="M372" s="250"/>
      <c r="N372" s="250"/>
      <c r="O372" s="249"/>
      <c r="P372" s="249"/>
      <c r="Q372" s="250"/>
      <c r="R372" s="252"/>
      <c r="S372" s="15"/>
      <c r="T372" s="15"/>
      <c r="U372" s="15"/>
      <c r="V372" s="15"/>
    </row>
    <row r="373" spans="1:22">
      <c r="A373" s="253"/>
      <c r="B373" s="254"/>
      <c r="C373" s="255"/>
      <c r="D373" s="256"/>
      <c r="E373" s="256"/>
      <c r="F373" s="256"/>
      <c r="G373" s="256"/>
      <c r="H373" s="256"/>
      <c r="I373" s="256"/>
      <c r="J373" s="257"/>
      <c r="K373" s="255"/>
      <c r="L373" s="256"/>
      <c r="M373" s="256"/>
      <c r="N373" s="256"/>
      <c r="O373" s="255"/>
      <c r="P373" s="255"/>
      <c r="Q373" s="256"/>
      <c r="R373" s="258"/>
      <c r="S373" s="15"/>
      <c r="T373" s="15"/>
      <c r="U373" s="15"/>
      <c r="V373" s="15"/>
    </row>
    <row r="374" spans="1:22">
      <c r="A374" s="253"/>
      <c r="B374" s="317"/>
      <c r="C374" s="318"/>
      <c r="D374" s="319"/>
      <c r="E374" s="319"/>
      <c r="F374" s="319"/>
      <c r="G374" s="319"/>
      <c r="H374" s="319"/>
      <c r="I374" s="319"/>
      <c r="J374" s="320"/>
      <c r="K374" s="318"/>
      <c r="L374" s="319"/>
      <c r="M374" s="319"/>
      <c r="N374" s="319"/>
      <c r="O374" s="318"/>
      <c r="P374" s="321"/>
      <c r="Q374" s="319"/>
      <c r="R374" s="322"/>
      <c r="S374" s="15"/>
      <c r="T374" s="15"/>
      <c r="U374" s="15"/>
      <c r="V374" s="15"/>
    </row>
    <row r="375" spans="1:22">
      <c r="A375" s="253"/>
      <c r="B375" s="234"/>
      <c r="C375" s="249"/>
      <c r="D375" s="250"/>
      <c r="E375" s="250"/>
      <c r="F375" s="250"/>
      <c r="G375" s="250"/>
      <c r="H375" s="250"/>
      <c r="I375" s="250"/>
      <c r="J375" s="251"/>
      <c r="K375" s="249"/>
      <c r="L375" s="250"/>
      <c r="M375" s="250"/>
      <c r="N375" s="250"/>
      <c r="O375" s="249"/>
      <c r="P375" s="249"/>
      <c r="Q375" s="250"/>
      <c r="R375" s="252"/>
      <c r="S375" s="15"/>
      <c r="T375" s="15"/>
      <c r="U375" s="15"/>
      <c r="V375" s="15"/>
    </row>
    <row r="376" spans="1:22">
      <c r="A376" s="253"/>
      <c r="B376" s="254"/>
      <c r="C376" s="255"/>
      <c r="D376" s="256"/>
      <c r="E376" s="256"/>
      <c r="F376" s="256"/>
      <c r="G376" s="256"/>
      <c r="H376" s="256"/>
      <c r="I376" s="256"/>
      <c r="J376" s="257"/>
      <c r="K376" s="255"/>
      <c r="L376" s="256"/>
      <c r="M376" s="256"/>
      <c r="N376" s="256"/>
      <c r="O376" s="255"/>
      <c r="P376" s="255"/>
      <c r="Q376" s="256"/>
      <c r="R376" s="258"/>
      <c r="S376" s="15"/>
      <c r="T376" s="15"/>
      <c r="U376" s="15"/>
      <c r="V376" s="15"/>
    </row>
    <row r="377" spans="1:22">
      <c r="A377" s="253"/>
      <c r="B377" s="317"/>
      <c r="C377" s="318"/>
      <c r="D377" s="319"/>
      <c r="E377" s="319"/>
      <c r="F377" s="319"/>
      <c r="G377" s="319"/>
      <c r="H377" s="319"/>
      <c r="I377" s="319"/>
      <c r="J377" s="320"/>
      <c r="K377" s="318"/>
      <c r="L377" s="319"/>
      <c r="M377" s="319"/>
      <c r="N377" s="319"/>
      <c r="O377" s="318"/>
      <c r="P377" s="321"/>
      <c r="Q377" s="319"/>
      <c r="R377" s="322"/>
      <c r="S377" s="15"/>
      <c r="T377" s="15"/>
      <c r="U377" s="15"/>
      <c r="V377" s="15"/>
    </row>
    <row r="378" spans="1:22">
      <c r="A378" s="253"/>
      <c r="B378" s="234"/>
      <c r="C378" s="249"/>
      <c r="D378" s="250"/>
      <c r="E378" s="250"/>
      <c r="F378" s="250"/>
      <c r="G378" s="250"/>
      <c r="H378" s="250"/>
      <c r="I378" s="250"/>
      <c r="J378" s="251"/>
      <c r="K378" s="249"/>
      <c r="L378" s="250"/>
      <c r="M378" s="250"/>
      <c r="N378" s="250"/>
      <c r="O378" s="249"/>
      <c r="P378" s="249"/>
      <c r="Q378" s="250"/>
      <c r="R378" s="252"/>
      <c r="S378" s="15"/>
      <c r="T378" s="15"/>
      <c r="U378" s="15"/>
      <c r="V378" s="15"/>
    </row>
    <row r="379" spans="1:22">
      <c r="A379" s="253"/>
      <c r="B379" s="254"/>
      <c r="C379" s="255"/>
      <c r="D379" s="256"/>
      <c r="E379" s="256"/>
      <c r="F379" s="256"/>
      <c r="G379" s="256"/>
      <c r="H379" s="256"/>
      <c r="I379" s="256"/>
      <c r="J379" s="257"/>
      <c r="K379" s="255"/>
      <c r="L379" s="256"/>
      <c r="M379" s="256"/>
      <c r="N379" s="256"/>
      <c r="O379" s="255"/>
      <c r="P379" s="255"/>
      <c r="Q379" s="256"/>
      <c r="R379" s="258"/>
      <c r="S379" s="15"/>
      <c r="T379" s="15"/>
      <c r="U379" s="15"/>
      <c r="V379" s="15"/>
    </row>
    <row r="380" spans="1:22">
      <c r="A380" s="253"/>
      <c r="B380" s="317"/>
      <c r="C380" s="318"/>
      <c r="D380" s="319"/>
      <c r="E380" s="319"/>
      <c r="F380" s="319"/>
      <c r="G380" s="319"/>
      <c r="H380" s="319"/>
      <c r="I380" s="319"/>
      <c r="J380" s="320"/>
      <c r="K380" s="318"/>
      <c r="L380" s="331"/>
      <c r="M380" s="319"/>
      <c r="N380" s="319"/>
      <c r="O380" s="318"/>
      <c r="P380" s="321"/>
      <c r="Q380" s="319"/>
      <c r="R380" s="322"/>
      <c r="S380" s="15"/>
      <c r="T380" s="15"/>
      <c r="U380" s="15"/>
      <c r="V380" s="15"/>
    </row>
    <row r="381" spans="1:22">
      <c r="A381" s="253"/>
      <c r="B381" s="234"/>
      <c r="C381" s="249"/>
      <c r="D381" s="250"/>
      <c r="E381" s="250"/>
      <c r="F381" s="250"/>
      <c r="G381" s="250"/>
      <c r="H381" s="250"/>
      <c r="I381" s="250"/>
      <c r="J381" s="251"/>
      <c r="K381" s="249"/>
      <c r="L381" s="250"/>
      <c r="M381" s="250"/>
      <c r="N381" s="250"/>
      <c r="O381" s="249"/>
      <c r="P381" s="249"/>
      <c r="Q381" s="250"/>
      <c r="R381" s="252"/>
      <c r="S381" s="15"/>
      <c r="T381" s="15"/>
      <c r="U381" s="15"/>
      <c r="V381" s="15"/>
    </row>
    <row r="382" spans="1:22">
      <c r="A382" s="253"/>
      <c r="B382" s="254"/>
      <c r="C382" s="255"/>
      <c r="D382" s="256"/>
      <c r="E382" s="256"/>
      <c r="F382" s="256"/>
      <c r="G382" s="256"/>
      <c r="H382" s="256"/>
      <c r="I382" s="256"/>
      <c r="J382" s="257"/>
      <c r="K382" s="255"/>
      <c r="L382" s="256"/>
      <c r="M382" s="256"/>
      <c r="N382" s="256"/>
      <c r="O382" s="255"/>
      <c r="P382" s="255"/>
      <c r="Q382" s="256"/>
      <c r="R382" s="258"/>
      <c r="S382" s="15"/>
      <c r="T382" s="15"/>
      <c r="U382" s="15"/>
      <c r="V382" s="15"/>
    </row>
    <row r="383" spans="1:22">
      <c r="A383" s="253"/>
      <c r="B383" s="317"/>
      <c r="C383" s="318"/>
      <c r="D383" s="319"/>
      <c r="E383" s="319"/>
      <c r="F383" s="319"/>
      <c r="G383" s="319"/>
      <c r="H383" s="319"/>
      <c r="I383" s="319"/>
      <c r="J383" s="320"/>
      <c r="K383" s="318"/>
      <c r="L383" s="319"/>
      <c r="M383" s="319"/>
      <c r="N383" s="319"/>
      <c r="O383" s="318"/>
      <c r="P383" s="321"/>
      <c r="Q383" s="319"/>
      <c r="R383" s="322"/>
      <c r="S383" s="15"/>
      <c r="T383" s="15"/>
      <c r="U383" s="15"/>
      <c r="V383" s="15"/>
    </row>
    <row r="384" spans="1:22">
      <c r="A384" s="253"/>
      <c r="B384" s="234"/>
      <c r="C384" s="249"/>
      <c r="D384" s="250"/>
      <c r="E384" s="250"/>
      <c r="F384" s="250"/>
      <c r="G384" s="250"/>
      <c r="H384" s="250"/>
      <c r="I384" s="250"/>
      <c r="J384" s="251"/>
      <c r="K384" s="249"/>
      <c r="L384" s="250"/>
      <c r="M384" s="250"/>
      <c r="N384" s="250"/>
      <c r="O384" s="249"/>
      <c r="P384" s="249"/>
      <c r="Q384" s="250"/>
      <c r="R384" s="252"/>
      <c r="S384" s="15"/>
      <c r="T384" s="15"/>
      <c r="U384" s="15"/>
      <c r="V384" s="15"/>
    </row>
    <row r="385" spans="1:22">
      <c r="A385" s="253"/>
      <c r="B385" s="254"/>
      <c r="C385" s="255"/>
      <c r="D385" s="256"/>
      <c r="E385" s="256"/>
      <c r="F385" s="256"/>
      <c r="G385" s="256"/>
      <c r="H385" s="256"/>
      <c r="I385" s="256"/>
      <c r="J385" s="257"/>
      <c r="K385" s="255"/>
      <c r="L385" s="256"/>
      <c r="M385" s="256"/>
      <c r="N385" s="256"/>
      <c r="O385" s="255"/>
      <c r="P385" s="255"/>
      <c r="Q385" s="256"/>
      <c r="R385" s="258"/>
      <c r="S385" s="15"/>
      <c r="T385" s="15"/>
      <c r="U385" s="15"/>
      <c r="V385" s="15"/>
    </row>
    <row r="386" spans="1:22">
      <c r="A386" s="253"/>
      <c r="B386" s="317"/>
      <c r="C386" s="332"/>
      <c r="D386" s="319"/>
      <c r="E386" s="319"/>
      <c r="F386" s="319"/>
      <c r="G386" s="319"/>
      <c r="H386" s="319"/>
      <c r="I386" s="319"/>
      <c r="J386" s="320"/>
      <c r="K386" s="318"/>
      <c r="L386" s="319"/>
      <c r="M386" s="319"/>
      <c r="N386" s="319"/>
      <c r="O386" s="318"/>
      <c r="P386" s="321"/>
      <c r="Q386" s="319"/>
      <c r="R386" s="322"/>
      <c r="S386" s="15"/>
      <c r="T386" s="15"/>
      <c r="U386" s="15"/>
      <c r="V386" s="15"/>
    </row>
    <row r="387" spans="1:22">
      <c r="A387" s="253"/>
      <c r="B387" s="234"/>
      <c r="C387" s="249"/>
      <c r="D387" s="250"/>
      <c r="E387" s="250"/>
      <c r="F387" s="250"/>
      <c r="G387" s="250"/>
      <c r="H387" s="250"/>
      <c r="I387" s="250"/>
      <c r="J387" s="251"/>
      <c r="K387" s="249"/>
      <c r="L387" s="250"/>
      <c r="M387" s="250"/>
      <c r="N387" s="250"/>
      <c r="O387" s="249"/>
      <c r="P387" s="249"/>
      <c r="Q387" s="250"/>
      <c r="R387" s="252"/>
      <c r="S387" s="15"/>
      <c r="T387" s="15"/>
      <c r="U387" s="15"/>
      <c r="V387" s="15"/>
    </row>
    <row r="388" spans="1:22">
      <c r="A388" s="253"/>
      <c r="B388" s="254"/>
      <c r="C388" s="255"/>
      <c r="D388" s="256"/>
      <c r="E388" s="256"/>
      <c r="F388" s="256"/>
      <c r="G388" s="256"/>
      <c r="H388" s="256"/>
      <c r="I388" s="256"/>
      <c r="J388" s="257"/>
      <c r="K388" s="255"/>
      <c r="L388" s="256"/>
      <c r="M388" s="256"/>
      <c r="N388" s="256"/>
      <c r="O388" s="255"/>
      <c r="P388" s="255"/>
      <c r="Q388" s="256"/>
      <c r="R388" s="258"/>
      <c r="S388" s="15"/>
      <c r="T388" s="15"/>
      <c r="U388" s="15"/>
      <c r="V388" s="15"/>
    </row>
    <row r="389" spans="1:22">
      <c r="A389" s="253"/>
      <c r="B389" s="317"/>
      <c r="C389" s="332"/>
      <c r="D389" s="319"/>
      <c r="E389" s="319"/>
      <c r="F389" s="319"/>
      <c r="G389" s="319"/>
      <c r="H389" s="319"/>
      <c r="I389" s="319"/>
      <c r="J389" s="320"/>
      <c r="K389" s="318"/>
      <c r="L389" s="319"/>
      <c r="M389" s="319"/>
      <c r="N389" s="319"/>
      <c r="O389" s="318"/>
      <c r="P389" s="321"/>
      <c r="Q389" s="319"/>
      <c r="R389" s="322"/>
      <c r="S389" s="15"/>
      <c r="T389" s="15"/>
      <c r="U389" s="15"/>
      <c r="V389" s="15"/>
    </row>
    <row r="390" spans="1:22">
      <c r="A390" s="253"/>
      <c r="B390" s="234"/>
      <c r="C390" s="249"/>
      <c r="D390" s="250"/>
      <c r="E390" s="250"/>
      <c r="F390" s="250"/>
      <c r="G390" s="250"/>
      <c r="H390" s="250"/>
      <c r="I390" s="250"/>
      <c r="J390" s="251"/>
      <c r="K390" s="249"/>
      <c r="L390" s="250"/>
      <c r="M390" s="250"/>
      <c r="N390" s="250"/>
      <c r="O390" s="249"/>
      <c r="P390" s="249"/>
      <c r="Q390" s="250"/>
      <c r="R390" s="252"/>
      <c r="S390" s="15"/>
      <c r="T390" s="15"/>
      <c r="U390" s="15"/>
      <c r="V390" s="15"/>
    </row>
    <row r="391" spans="1:22">
      <c r="A391" s="253"/>
      <c r="B391" s="254"/>
      <c r="C391" s="255"/>
      <c r="D391" s="256"/>
      <c r="E391" s="256"/>
      <c r="F391" s="256"/>
      <c r="G391" s="256"/>
      <c r="H391" s="256"/>
      <c r="I391" s="256"/>
      <c r="J391" s="257"/>
      <c r="K391" s="255"/>
      <c r="L391" s="256"/>
      <c r="M391" s="256"/>
      <c r="N391" s="256"/>
      <c r="O391" s="255"/>
      <c r="P391" s="255"/>
      <c r="Q391" s="256"/>
      <c r="R391" s="258"/>
      <c r="S391" s="15"/>
      <c r="T391" s="15"/>
      <c r="U391" s="15"/>
      <c r="V391" s="15"/>
    </row>
    <row r="392" spans="1:22">
      <c r="A392" s="253"/>
      <c r="B392" s="317"/>
      <c r="C392" s="318"/>
      <c r="D392" s="319"/>
      <c r="E392" s="319"/>
      <c r="F392" s="319"/>
      <c r="G392" s="319"/>
      <c r="H392" s="319"/>
      <c r="I392" s="319"/>
      <c r="J392" s="320"/>
      <c r="K392" s="318"/>
      <c r="L392" s="319"/>
      <c r="M392" s="319"/>
      <c r="N392" s="319"/>
      <c r="O392" s="318"/>
      <c r="P392" s="321"/>
      <c r="Q392" s="319"/>
      <c r="R392" s="322"/>
      <c r="S392" s="15"/>
      <c r="T392" s="15"/>
      <c r="U392" s="15"/>
      <c r="V392" s="15"/>
    </row>
    <row r="393" spans="1:22">
      <c r="A393" s="253"/>
      <c r="B393" s="234"/>
      <c r="C393" s="249"/>
      <c r="D393" s="250"/>
      <c r="E393" s="250"/>
      <c r="F393" s="250"/>
      <c r="G393" s="250"/>
      <c r="H393" s="250"/>
      <c r="I393" s="250"/>
      <c r="J393" s="251"/>
      <c r="K393" s="249"/>
      <c r="L393" s="250"/>
      <c r="M393" s="250"/>
      <c r="N393" s="250"/>
      <c r="O393" s="249"/>
      <c r="P393" s="249"/>
      <c r="Q393" s="250"/>
      <c r="R393" s="252"/>
      <c r="S393" s="15"/>
      <c r="T393" s="15"/>
      <c r="U393" s="15"/>
      <c r="V393" s="15"/>
    </row>
    <row r="394" spans="1:22">
      <c r="A394" s="253"/>
      <c r="B394" s="254"/>
      <c r="C394" s="255"/>
      <c r="D394" s="256"/>
      <c r="E394" s="256"/>
      <c r="F394" s="256"/>
      <c r="G394" s="256"/>
      <c r="H394" s="256"/>
      <c r="I394" s="256"/>
      <c r="J394" s="257"/>
      <c r="K394" s="255"/>
      <c r="L394" s="256"/>
      <c r="M394" s="256"/>
      <c r="N394" s="256"/>
      <c r="O394" s="255"/>
      <c r="P394" s="255"/>
      <c r="Q394" s="256"/>
      <c r="R394" s="258"/>
      <c r="S394" s="15"/>
      <c r="T394" s="15"/>
      <c r="U394" s="15"/>
      <c r="V394" s="15"/>
    </row>
    <row r="395" spans="1:22">
      <c r="A395" s="253"/>
      <c r="B395" s="317"/>
      <c r="C395" s="318"/>
      <c r="D395" s="319"/>
      <c r="E395" s="319"/>
      <c r="F395" s="319"/>
      <c r="G395" s="319"/>
      <c r="H395" s="319"/>
      <c r="I395" s="319"/>
      <c r="J395" s="320"/>
      <c r="K395" s="318"/>
      <c r="L395" s="319"/>
      <c r="M395" s="319"/>
      <c r="N395" s="319"/>
      <c r="O395" s="318"/>
      <c r="P395" s="321"/>
      <c r="Q395" s="319"/>
      <c r="R395" s="322"/>
      <c r="S395" s="15"/>
      <c r="T395" s="15"/>
      <c r="U395" s="15"/>
      <c r="V395" s="15"/>
    </row>
    <row r="396" spans="1:22">
      <c r="A396" s="253"/>
      <c r="B396" s="234"/>
      <c r="C396" s="249"/>
      <c r="D396" s="250"/>
      <c r="E396" s="250"/>
      <c r="F396" s="250"/>
      <c r="G396" s="250"/>
      <c r="H396" s="250"/>
      <c r="I396" s="250"/>
      <c r="J396" s="251"/>
      <c r="K396" s="249"/>
      <c r="L396" s="250"/>
      <c r="M396" s="250"/>
      <c r="N396" s="250"/>
      <c r="O396" s="249"/>
      <c r="P396" s="249"/>
      <c r="Q396" s="250"/>
      <c r="R396" s="252"/>
      <c r="S396" s="15"/>
      <c r="T396" s="15"/>
      <c r="U396" s="15"/>
      <c r="V396" s="15"/>
    </row>
    <row r="397" spans="1:22">
      <c r="A397" s="253"/>
      <c r="B397" s="254"/>
      <c r="C397" s="255"/>
      <c r="D397" s="256"/>
      <c r="E397" s="256"/>
      <c r="F397" s="256"/>
      <c r="G397" s="256"/>
      <c r="H397" s="256"/>
      <c r="I397" s="256"/>
      <c r="J397" s="257"/>
      <c r="K397" s="255"/>
      <c r="L397" s="256"/>
      <c r="M397" s="256"/>
      <c r="N397" s="256"/>
      <c r="O397" s="255"/>
      <c r="P397" s="255"/>
      <c r="Q397" s="256"/>
      <c r="R397" s="258"/>
      <c r="S397" s="15"/>
      <c r="T397" s="15"/>
      <c r="U397" s="15"/>
      <c r="V397" s="15"/>
    </row>
    <row r="398" spans="1:22">
      <c r="A398" s="253"/>
      <c r="B398" s="317"/>
      <c r="C398" s="318"/>
      <c r="D398" s="319"/>
      <c r="E398" s="319"/>
      <c r="F398" s="319"/>
      <c r="G398" s="319"/>
      <c r="H398" s="319"/>
      <c r="I398" s="319"/>
      <c r="J398" s="320"/>
      <c r="K398" s="318"/>
      <c r="L398" s="319"/>
      <c r="M398" s="319"/>
      <c r="N398" s="319"/>
      <c r="O398" s="318"/>
      <c r="P398" s="321"/>
      <c r="Q398" s="319"/>
      <c r="R398" s="322"/>
      <c r="S398" s="15"/>
      <c r="T398" s="15"/>
      <c r="U398" s="15"/>
      <c r="V398" s="15"/>
    </row>
    <row r="399" spans="1:22">
      <c r="A399" s="253"/>
      <c r="B399" s="234"/>
      <c r="C399" s="249"/>
      <c r="D399" s="250"/>
      <c r="E399" s="250"/>
      <c r="F399" s="250"/>
      <c r="G399" s="250"/>
      <c r="H399" s="250"/>
      <c r="I399" s="250"/>
      <c r="J399" s="251"/>
      <c r="K399" s="249"/>
      <c r="L399" s="250"/>
      <c r="M399" s="250"/>
      <c r="N399" s="250"/>
      <c r="O399" s="249"/>
      <c r="P399" s="249"/>
      <c r="Q399" s="250"/>
      <c r="R399" s="252"/>
      <c r="S399" s="15"/>
      <c r="T399" s="15"/>
      <c r="U399" s="15"/>
      <c r="V399" s="15"/>
    </row>
    <row r="400" spans="1:22">
      <c r="A400" s="253"/>
      <c r="B400" s="254"/>
      <c r="C400" s="255"/>
      <c r="D400" s="256"/>
      <c r="E400" s="256"/>
      <c r="F400" s="256"/>
      <c r="G400" s="256"/>
      <c r="H400" s="256"/>
      <c r="I400" s="256"/>
      <c r="J400" s="257"/>
      <c r="K400" s="255"/>
      <c r="L400" s="256"/>
      <c r="M400" s="256"/>
      <c r="N400" s="256"/>
      <c r="O400" s="255"/>
      <c r="P400" s="255"/>
      <c r="Q400" s="256"/>
      <c r="R400" s="258"/>
      <c r="S400" s="15"/>
      <c r="T400" s="15"/>
      <c r="U400" s="15"/>
      <c r="V400" s="15"/>
    </row>
    <row r="401" spans="1:22">
      <c r="A401" s="260"/>
      <c r="B401" s="317"/>
      <c r="C401" s="318"/>
      <c r="D401" s="319"/>
      <c r="E401" s="319"/>
      <c r="F401" s="319"/>
      <c r="G401" s="319"/>
      <c r="H401" s="319"/>
      <c r="I401" s="319"/>
      <c r="J401" s="320"/>
      <c r="K401" s="318"/>
      <c r="L401" s="319"/>
      <c r="M401" s="319"/>
      <c r="N401" s="319"/>
      <c r="O401" s="318"/>
      <c r="P401" s="321"/>
      <c r="Q401" s="319"/>
      <c r="R401" s="322"/>
      <c r="S401" s="15"/>
      <c r="T401" s="15"/>
      <c r="U401" s="15"/>
      <c r="V401" s="15"/>
    </row>
    <row r="402" spans="1:22">
      <c r="A402" s="248"/>
      <c r="B402" s="234"/>
      <c r="C402" s="249"/>
      <c r="D402" s="250"/>
      <c r="E402" s="250"/>
      <c r="F402" s="250"/>
      <c r="G402" s="250"/>
      <c r="H402" s="250"/>
      <c r="I402" s="250"/>
      <c r="J402" s="251"/>
      <c r="K402" s="249"/>
      <c r="L402" s="250"/>
      <c r="M402" s="250"/>
      <c r="N402" s="250"/>
      <c r="O402" s="249"/>
      <c r="P402" s="249"/>
      <c r="Q402" s="250"/>
      <c r="R402" s="252"/>
      <c r="S402" s="15"/>
      <c r="T402" s="15"/>
      <c r="U402" s="15"/>
      <c r="V402" s="15"/>
    </row>
    <row r="403" spans="1:22">
      <c r="A403" s="253"/>
      <c r="B403" s="254"/>
      <c r="C403" s="255"/>
      <c r="D403" s="256"/>
      <c r="E403" s="256"/>
      <c r="F403" s="256"/>
      <c r="G403" s="256"/>
      <c r="H403" s="256"/>
      <c r="I403" s="256"/>
      <c r="J403" s="257"/>
      <c r="K403" s="255"/>
      <c r="L403" s="256"/>
      <c r="M403" s="256"/>
      <c r="N403" s="256"/>
      <c r="O403" s="255"/>
      <c r="P403" s="255"/>
      <c r="Q403" s="256"/>
      <c r="R403" s="258"/>
      <c r="S403" s="15"/>
      <c r="T403" s="15"/>
      <c r="U403" s="15"/>
      <c r="V403" s="15"/>
    </row>
    <row r="404" spans="1:22">
      <c r="A404" s="253"/>
      <c r="B404" s="317"/>
      <c r="C404" s="318"/>
      <c r="D404" s="319"/>
      <c r="E404" s="319"/>
      <c r="F404" s="319"/>
      <c r="G404" s="319"/>
      <c r="H404" s="319"/>
      <c r="I404" s="319"/>
      <c r="J404" s="320"/>
      <c r="K404" s="318"/>
      <c r="L404" s="319"/>
      <c r="M404" s="319"/>
      <c r="N404" s="319"/>
      <c r="O404" s="318"/>
      <c r="P404" s="321"/>
      <c r="Q404" s="319"/>
      <c r="R404" s="322"/>
      <c r="S404" s="15"/>
      <c r="T404" s="15"/>
      <c r="U404" s="15"/>
      <c r="V404" s="15"/>
    </row>
    <row r="405" spans="1:22">
      <c r="A405" s="253"/>
      <c r="B405" s="234"/>
      <c r="C405" s="249"/>
      <c r="D405" s="250"/>
      <c r="E405" s="250"/>
      <c r="F405" s="250"/>
      <c r="G405" s="250"/>
      <c r="H405" s="250"/>
      <c r="I405" s="250"/>
      <c r="J405" s="251"/>
      <c r="K405" s="249"/>
      <c r="L405" s="250"/>
      <c r="M405" s="250"/>
      <c r="N405" s="250"/>
      <c r="O405" s="249"/>
      <c r="P405" s="249"/>
      <c r="Q405" s="250"/>
      <c r="R405" s="252"/>
      <c r="S405" s="15"/>
      <c r="T405" s="15"/>
      <c r="U405" s="15"/>
      <c r="V405" s="15"/>
    </row>
    <row r="406" spans="1:22">
      <c r="A406" s="253"/>
      <c r="B406" s="254"/>
      <c r="C406" s="255"/>
      <c r="D406" s="256"/>
      <c r="E406" s="256"/>
      <c r="F406" s="256"/>
      <c r="G406" s="256"/>
      <c r="H406" s="256"/>
      <c r="I406" s="256"/>
      <c r="J406" s="257"/>
      <c r="K406" s="255"/>
      <c r="L406" s="256"/>
      <c r="M406" s="256"/>
      <c r="N406" s="256"/>
      <c r="O406" s="255"/>
      <c r="P406" s="255"/>
      <c r="Q406" s="256"/>
      <c r="R406" s="258"/>
      <c r="S406" s="15"/>
      <c r="T406" s="15"/>
      <c r="U406" s="15"/>
      <c r="V406" s="15"/>
    </row>
    <row r="407" spans="1:22">
      <c r="A407" s="253"/>
      <c r="B407" s="317"/>
      <c r="C407" s="318"/>
      <c r="D407" s="319"/>
      <c r="E407" s="319"/>
      <c r="F407" s="319"/>
      <c r="G407" s="319"/>
      <c r="H407" s="319"/>
      <c r="I407" s="319"/>
      <c r="J407" s="320"/>
      <c r="K407" s="318"/>
      <c r="L407" s="319"/>
      <c r="M407" s="319"/>
      <c r="N407" s="319"/>
      <c r="O407" s="318"/>
      <c r="P407" s="321"/>
      <c r="Q407" s="319"/>
      <c r="R407" s="322"/>
      <c r="S407" s="15"/>
      <c r="T407" s="15"/>
      <c r="U407" s="15"/>
      <c r="V407" s="15"/>
    </row>
    <row r="408" spans="1:22">
      <c r="A408" s="253"/>
      <c r="B408" s="234"/>
      <c r="C408" s="249"/>
      <c r="D408" s="250"/>
      <c r="E408" s="250"/>
      <c r="F408" s="250"/>
      <c r="G408" s="250"/>
      <c r="H408" s="250"/>
      <c r="I408" s="250"/>
      <c r="J408" s="251"/>
      <c r="K408" s="249"/>
      <c r="L408" s="250"/>
      <c r="M408" s="250"/>
      <c r="N408" s="250"/>
      <c r="O408" s="249"/>
      <c r="P408" s="249"/>
      <c r="Q408" s="250"/>
      <c r="R408" s="252"/>
      <c r="S408" s="15"/>
      <c r="T408" s="15"/>
      <c r="U408" s="15"/>
      <c r="V408" s="15"/>
    </row>
    <row r="409" spans="1:22">
      <c r="A409" s="253"/>
      <c r="B409" s="254"/>
      <c r="C409" s="255"/>
      <c r="D409" s="256"/>
      <c r="E409" s="256"/>
      <c r="F409" s="256"/>
      <c r="G409" s="256"/>
      <c r="H409" s="256"/>
      <c r="I409" s="256"/>
      <c r="J409" s="257"/>
      <c r="K409" s="255"/>
      <c r="L409" s="256"/>
      <c r="M409" s="256"/>
      <c r="N409" s="256"/>
      <c r="O409" s="255"/>
      <c r="P409" s="255"/>
      <c r="Q409" s="256"/>
      <c r="R409" s="258"/>
      <c r="S409" s="15"/>
      <c r="T409" s="15"/>
      <c r="U409" s="15"/>
      <c r="V409" s="15"/>
    </row>
    <row r="410" spans="1:22">
      <c r="A410" s="253"/>
      <c r="B410" s="317"/>
      <c r="C410" s="318"/>
      <c r="D410" s="319"/>
      <c r="E410" s="319"/>
      <c r="F410" s="319"/>
      <c r="G410" s="319"/>
      <c r="H410" s="319"/>
      <c r="I410" s="319"/>
      <c r="J410" s="320"/>
      <c r="K410" s="318"/>
      <c r="L410" s="319"/>
      <c r="M410" s="319"/>
      <c r="N410" s="319"/>
      <c r="O410" s="318"/>
      <c r="P410" s="321"/>
      <c r="Q410" s="319"/>
      <c r="R410" s="322"/>
      <c r="S410" s="15"/>
      <c r="T410" s="15"/>
      <c r="U410" s="15"/>
      <c r="V410" s="15"/>
    </row>
    <row r="411" spans="1:22">
      <c r="A411" s="253"/>
      <c r="B411" s="234"/>
      <c r="C411" s="249"/>
      <c r="D411" s="250"/>
      <c r="E411" s="250"/>
      <c r="F411" s="250"/>
      <c r="G411" s="250"/>
      <c r="H411" s="250"/>
      <c r="I411" s="250"/>
      <c r="J411" s="251"/>
      <c r="K411" s="249"/>
      <c r="L411" s="250"/>
      <c r="M411" s="250"/>
      <c r="N411" s="250"/>
      <c r="O411" s="249"/>
      <c r="P411" s="249"/>
      <c r="Q411" s="250"/>
      <c r="R411" s="252"/>
      <c r="S411" s="15"/>
      <c r="T411" s="15"/>
      <c r="U411" s="15"/>
      <c r="V411" s="15"/>
    </row>
    <row r="412" spans="1:22">
      <c r="A412" s="253"/>
      <c r="B412" s="254"/>
      <c r="C412" s="255"/>
      <c r="D412" s="256"/>
      <c r="E412" s="256"/>
      <c r="F412" s="256"/>
      <c r="G412" s="256"/>
      <c r="H412" s="256"/>
      <c r="I412" s="256"/>
      <c r="J412" s="257"/>
      <c r="K412" s="255"/>
      <c r="L412" s="256"/>
      <c r="M412" s="256"/>
      <c r="N412" s="256"/>
      <c r="O412" s="255"/>
      <c r="P412" s="255"/>
      <c r="Q412" s="256"/>
      <c r="R412" s="258"/>
      <c r="S412" s="15"/>
      <c r="T412" s="15"/>
      <c r="U412" s="15"/>
      <c r="V412" s="15"/>
    </row>
    <row r="413" spans="1:22">
      <c r="A413" s="253"/>
      <c r="B413" s="317"/>
      <c r="C413" s="318"/>
      <c r="D413" s="319"/>
      <c r="E413" s="319"/>
      <c r="F413" s="319"/>
      <c r="G413" s="319"/>
      <c r="H413" s="319"/>
      <c r="I413" s="319"/>
      <c r="J413" s="320"/>
      <c r="K413" s="318"/>
      <c r="L413" s="319"/>
      <c r="M413" s="319"/>
      <c r="N413" s="319"/>
      <c r="O413" s="318"/>
      <c r="P413" s="321"/>
      <c r="Q413" s="319"/>
      <c r="R413" s="322"/>
      <c r="S413" s="15"/>
      <c r="T413" s="15"/>
      <c r="U413" s="15"/>
      <c r="V413" s="15"/>
    </row>
    <row r="414" spans="1:22">
      <c r="A414" s="253"/>
      <c r="B414" s="234"/>
      <c r="C414" s="249"/>
      <c r="D414" s="250"/>
      <c r="E414" s="250"/>
      <c r="F414" s="250"/>
      <c r="G414" s="250"/>
      <c r="H414" s="250"/>
      <c r="I414" s="250"/>
      <c r="J414" s="251"/>
      <c r="K414" s="249"/>
      <c r="L414" s="250"/>
      <c r="M414" s="250"/>
      <c r="N414" s="250"/>
      <c r="O414" s="249"/>
      <c r="P414" s="249"/>
      <c r="Q414" s="250"/>
      <c r="R414" s="252"/>
      <c r="S414" s="15"/>
      <c r="T414" s="15"/>
      <c r="U414" s="15"/>
      <c r="V414" s="15"/>
    </row>
    <row r="415" spans="1:22">
      <c r="A415" s="253"/>
      <c r="B415" s="254"/>
      <c r="C415" s="255"/>
      <c r="D415" s="256"/>
      <c r="E415" s="256"/>
      <c r="F415" s="256"/>
      <c r="G415" s="256"/>
      <c r="H415" s="256"/>
      <c r="I415" s="256"/>
      <c r="J415" s="257"/>
      <c r="K415" s="255"/>
      <c r="L415" s="256"/>
      <c r="M415" s="256"/>
      <c r="N415" s="256"/>
      <c r="O415" s="255"/>
      <c r="P415" s="255"/>
      <c r="Q415" s="256"/>
      <c r="R415" s="258"/>
      <c r="S415" s="15"/>
      <c r="T415" s="15"/>
      <c r="U415" s="15"/>
      <c r="V415" s="15"/>
    </row>
    <row r="416" spans="1:22">
      <c r="A416" s="253"/>
      <c r="B416" s="317"/>
      <c r="C416" s="318"/>
      <c r="D416" s="319"/>
      <c r="E416" s="319"/>
      <c r="F416" s="319"/>
      <c r="G416" s="319"/>
      <c r="H416" s="319"/>
      <c r="I416" s="319"/>
      <c r="J416" s="320"/>
      <c r="K416" s="318"/>
      <c r="L416" s="319"/>
      <c r="M416" s="319"/>
      <c r="N416" s="319"/>
      <c r="O416" s="318"/>
      <c r="P416" s="321"/>
      <c r="Q416" s="319"/>
      <c r="R416" s="322"/>
      <c r="S416" s="15"/>
      <c r="T416" s="15"/>
      <c r="U416" s="15"/>
      <c r="V416" s="15"/>
    </row>
    <row r="417" spans="1:22">
      <c r="A417" s="253"/>
      <c r="B417" s="234"/>
      <c r="C417" s="249"/>
      <c r="D417" s="250"/>
      <c r="E417" s="250"/>
      <c r="F417" s="250"/>
      <c r="G417" s="250"/>
      <c r="H417" s="250"/>
      <c r="I417" s="250"/>
      <c r="J417" s="251"/>
      <c r="K417" s="249"/>
      <c r="L417" s="250"/>
      <c r="M417" s="250"/>
      <c r="N417" s="250"/>
      <c r="O417" s="249"/>
      <c r="P417" s="249"/>
      <c r="Q417" s="250"/>
      <c r="R417" s="252"/>
      <c r="S417" s="15"/>
      <c r="T417" s="15"/>
      <c r="U417" s="15"/>
      <c r="V417" s="15"/>
    </row>
    <row r="418" spans="1:22">
      <c r="A418" s="253"/>
      <c r="B418" s="254"/>
      <c r="C418" s="255"/>
      <c r="D418" s="256"/>
      <c r="E418" s="256"/>
      <c r="F418" s="256"/>
      <c r="G418" s="256"/>
      <c r="H418" s="256"/>
      <c r="I418" s="256"/>
      <c r="J418" s="257"/>
      <c r="K418" s="255"/>
      <c r="L418" s="256"/>
      <c r="M418" s="256"/>
      <c r="N418" s="256"/>
      <c r="O418" s="255"/>
      <c r="P418" s="255"/>
      <c r="Q418" s="256"/>
      <c r="R418" s="258"/>
      <c r="S418" s="15"/>
      <c r="T418" s="15"/>
      <c r="U418" s="15"/>
      <c r="V418" s="15"/>
    </row>
    <row r="419" spans="1:22">
      <c r="A419" s="253"/>
      <c r="B419" s="317"/>
      <c r="C419" s="318"/>
      <c r="D419" s="319"/>
      <c r="E419" s="319"/>
      <c r="F419" s="319"/>
      <c r="G419" s="319"/>
      <c r="H419" s="319"/>
      <c r="I419" s="319"/>
      <c r="J419" s="320"/>
      <c r="K419" s="318"/>
      <c r="L419" s="319"/>
      <c r="M419" s="319"/>
      <c r="N419" s="319"/>
      <c r="O419" s="318"/>
      <c r="P419" s="321"/>
      <c r="Q419" s="319"/>
      <c r="R419" s="322"/>
      <c r="S419" s="15"/>
      <c r="T419" s="15"/>
      <c r="U419" s="15"/>
      <c r="V419" s="15"/>
    </row>
    <row r="420" spans="1:22">
      <c r="A420" s="253"/>
      <c r="B420" s="234"/>
      <c r="C420" s="249"/>
      <c r="D420" s="250"/>
      <c r="E420" s="250"/>
      <c r="F420" s="250"/>
      <c r="G420" s="250"/>
      <c r="H420" s="250"/>
      <c r="I420" s="250"/>
      <c r="J420" s="251"/>
      <c r="K420" s="249"/>
      <c r="L420" s="250"/>
      <c r="M420" s="250"/>
      <c r="N420" s="250"/>
      <c r="O420" s="249"/>
      <c r="P420" s="249"/>
      <c r="Q420" s="250"/>
      <c r="R420" s="252"/>
      <c r="S420" s="15"/>
      <c r="T420" s="15"/>
      <c r="U420" s="15"/>
      <c r="V420" s="15"/>
    </row>
    <row r="421" spans="1:22">
      <c r="A421" s="253"/>
      <c r="B421" s="254"/>
      <c r="C421" s="255"/>
      <c r="D421" s="256"/>
      <c r="E421" s="256"/>
      <c r="F421" s="256"/>
      <c r="G421" s="256"/>
      <c r="H421" s="256"/>
      <c r="I421" s="256"/>
      <c r="J421" s="257"/>
      <c r="K421" s="255"/>
      <c r="L421" s="256"/>
      <c r="M421" s="256"/>
      <c r="N421" s="256"/>
      <c r="O421" s="255"/>
      <c r="P421" s="255"/>
      <c r="Q421" s="256"/>
      <c r="R421" s="258"/>
      <c r="S421" s="15"/>
      <c r="T421" s="15"/>
      <c r="U421" s="15"/>
      <c r="V421" s="15"/>
    </row>
    <row r="422" spans="1:22">
      <c r="A422" s="253"/>
      <c r="B422" s="317"/>
      <c r="C422" s="318"/>
      <c r="D422" s="319"/>
      <c r="E422" s="331"/>
      <c r="F422" s="331"/>
      <c r="G422" s="319"/>
      <c r="H422" s="319"/>
      <c r="I422" s="319"/>
      <c r="J422" s="320"/>
      <c r="K422" s="318"/>
      <c r="L422" s="319"/>
      <c r="M422" s="319"/>
      <c r="N422" s="319"/>
      <c r="O422" s="318"/>
      <c r="P422" s="321"/>
      <c r="Q422" s="319"/>
      <c r="R422" s="322"/>
      <c r="S422" s="15"/>
      <c r="T422" s="15"/>
      <c r="U422" s="15"/>
      <c r="V422" s="15"/>
    </row>
    <row r="423" spans="1:22">
      <c r="A423" s="253"/>
      <c r="B423" s="234"/>
      <c r="C423" s="249"/>
      <c r="D423" s="250"/>
      <c r="E423" s="250"/>
      <c r="F423" s="250"/>
      <c r="G423" s="250"/>
      <c r="H423" s="250"/>
      <c r="I423" s="250"/>
      <c r="J423" s="251"/>
      <c r="K423" s="249"/>
      <c r="L423" s="250"/>
      <c r="M423" s="250"/>
      <c r="N423" s="250"/>
      <c r="O423" s="249"/>
      <c r="P423" s="249"/>
      <c r="Q423" s="250"/>
      <c r="R423" s="252"/>
      <c r="S423" s="15"/>
      <c r="T423" s="15"/>
      <c r="U423" s="15"/>
      <c r="V423" s="15"/>
    </row>
    <row r="424" spans="1:22">
      <c r="A424" s="253"/>
      <c r="B424" s="254"/>
      <c r="C424" s="255"/>
      <c r="D424" s="256"/>
      <c r="E424" s="256"/>
      <c r="F424" s="256"/>
      <c r="G424" s="256"/>
      <c r="H424" s="256"/>
      <c r="I424" s="256"/>
      <c r="J424" s="257"/>
      <c r="K424" s="255"/>
      <c r="L424" s="256"/>
      <c r="M424" s="256"/>
      <c r="N424" s="256"/>
      <c r="O424" s="255"/>
      <c r="P424" s="255"/>
      <c r="Q424" s="256"/>
      <c r="R424" s="258"/>
      <c r="S424" s="15"/>
      <c r="T424" s="15"/>
      <c r="U424" s="15"/>
      <c r="V424" s="15"/>
    </row>
    <row r="425" spans="1:22">
      <c r="A425" s="253"/>
      <c r="B425" s="317"/>
      <c r="C425" s="318"/>
      <c r="D425" s="319"/>
      <c r="E425" s="331"/>
      <c r="F425" s="331"/>
      <c r="G425" s="319"/>
      <c r="H425" s="319"/>
      <c r="I425" s="319"/>
      <c r="J425" s="320"/>
      <c r="K425" s="318"/>
      <c r="L425" s="319"/>
      <c r="M425" s="319"/>
      <c r="N425" s="319"/>
      <c r="O425" s="318"/>
      <c r="P425" s="321"/>
      <c r="Q425" s="319"/>
      <c r="R425" s="322"/>
      <c r="S425" s="15"/>
      <c r="T425" s="15"/>
      <c r="U425" s="15"/>
      <c r="V425" s="15"/>
    </row>
    <row r="426" spans="1:22">
      <c r="A426" s="253"/>
      <c r="B426" s="234"/>
      <c r="C426" s="249"/>
      <c r="D426" s="250"/>
      <c r="E426" s="250"/>
      <c r="F426" s="250"/>
      <c r="G426" s="250"/>
      <c r="H426" s="250"/>
      <c r="I426" s="250"/>
      <c r="J426" s="251"/>
      <c r="K426" s="249"/>
      <c r="L426" s="250"/>
      <c r="M426" s="250"/>
      <c r="N426" s="250"/>
      <c r="O426" s="249"/>
      <c r="P426" s="249"/>
      <c r="Q426" s="250"/>
      <c r="R426" s="252"/>
      <c r="S426" s="15"/>
      <c r="T426" s="15"/>
      <c r="U426" s="15"/>
      <c r="V426" s="15"/>
    </row>
    <row r="427" spans="1:22">
      <c r="A427" s="253"/>
      <c r="B427" s="254"/>
      <c r="C427" s="255"/>
      <c r="D427" s="256"/>
      <c r="E427" s="256"/>
      <c r="F427" s="256"/>
      <c r="G427" s="256"/>
      <c r="H427" s="256"/>
      <c r="I427" s="256"/>
      <c r="J427" s="257"/>
      <c r="K427" s="255"/>
      <c r="L427" s="256"/>
      <c r="M427" s="256"/>
      <c r="N427" s="256"/>
      <c r="O427" s="255"/>
      <c r="P427" s="255"/>
      <c r="Q427" s="256"/>
      <c r="R427" s="258"/>
      <c r="S427" s="15"/>
      <c r="T427" s="15"/>
      <c r="U427" s="15"/>
      <c r="V427" s="15"/>
    </row>
    <row r="428" spans="1:22">
      <c r="A428" s="253"/>
      <c r="B428" s="317"/>
      <c r="C428" s="318"/>
      <c r="D428" s="319"/>
      <c r="E428" s="331"/>
      <c r="F428" s="331"/>
      <c r="G428" s="319"/>
      <c r="H428" s="331"/>
      <c r="I428" s="319"/>
      <c r="J428" s="320"/>
      <c r="K428" s="318"/>
      <c r="L428" s="319"/>
      <c r="M428" s="319"/>
      <c r="N428" s="319"/>
      <c r="O428" s="318"/>
      <c r="P428" s="321"/>
      <c r="Q428" s="319"/>
      <c r="R428" s="322"/>
      <c r="S428" s="15"/>
      <c r="T428" s="15"/>
      <c r="U428" s="15"/>
      <c r="V428" s="15"/>
    </row>
    <row r="429" spans="1:22">
      <c r="A429" s="253"/>
      <c r="B429" s="234"/>
      <c r="C429" s="249"/>
      <c r="D429" s="250"/>
      <c r="E429" s="250"/>
      <c r="F429" s="250"/>
      <c r="G429" s="250"/>
      <c r="H429" s="250"/>
      <c r="I429" s="250"/>
      <c r="J429" s="251"/>
      <c r="K429" s="249"/>
      <c r="L429" s="250"/>
      <c r="M429" s="250"/>
      <c r="N429" s="250"/>
      <c r="O429" s="249"/>
      <c r="P429" s="249"/>
      <c r="Q429" s="250"/>
      <c r="R429" s="252"/>
      <c r="S429" s="15"/>
      <c r="T429" s="15"/>
      <c r="U429" s="15"/>
      <c r="V429" s="15"/>
    </row>
    <row r="430" spans="1:22">
      <c r="A430" s="253"/>
      <c r="B430" s="254"/>
      <c r="C430" s="255"/>
      <c r="D430" s="256"/>
      <c r="E430" s="256"/>
      <c r="F430" s="256"/>
      <c r="G430" s="256"/>
      <c r="H430" s="256"/>
      <c r="I430" s="256"/>
      <c r="J430" s="257"/>
      <c r="K430" s="255"/>
      <c r="L430" s="256"/>
      <c r="M430" s="256"/>
      <c r="N430" s="256"/>
      <c r="O430" s="255"/>
      <c r="P430" s="255"/>
      <c r="Q430" s="256"/>
      <c r="R430" s="258"/>
      <c r="S430" s="15"/>
      <c r="T430" s="15"/>
      <c r="U430" s="15"/>
      <c r="V430" s="15"/>
    </row>
    <row r="431" spans="1:22">
      <c r="A431" s="253"/>
      <c r="B431" s="317"/>
      <c r="C431" s="318"/>
      <c r="D431" s="319"/>
      <c r="E431" s="319"/>
      <c r="F431" s="319"/>
      <c r="G431" s="319"/>
      <c r="H431" s="319"/>
      <c r="I431" s="319"/>
      <c r="J431" s="320"/>
      <c r="K431" s="318"/>
      <c r="L431" s="319"/>
      <c r="M431" s="319"/>
      <c r="N431" s="319"/>
      <c r="O431" s="318"/>
      <c r="P431" s="321"/>
      <c r="Q431" s="319"/>
      <c r="R431" s="322"/>
      <c r="S431" s="15"/>
      <c r="T431" s="15"/>
      <c r="U431" s="15"/>
      <c r="V431" s="15"/>
    </row>
    <row r="432" spans="1:22">
      <c r="A432" s="253"/>
      <c r="B432" s="234"/>
      <c r="C432" s="249"/>
      <c r="D432" s="250"/>
      <c r="E432" s="250"/>
      <c r="F432" s="250"/>
      <c r="G432" s="250"/>
      <c r="H432" s="250"/>
      <c r="I432" s="250"/>
      <c r="J432" s="251"/>
      <c r="K432" s="249"/>
      <c r="L432" s="250"/>
      <c r="M432" s="250"/>
      <c r="N432" s="250"/>
      <c r="O432" s="249"/>
      <c r="P432" s="249"/>
      <c r="Q432" s="250"/>
      <c r="R432" s="252"/>
      <c r="S432" s="15"/>
      <c r="T432" s="15"/>
      <c r="U432" s="15"/>
      <c r="V432" s="15"/>
    </row>
    <row r="433" spans="1:22">
      <c r="A433" s="253"/>
      <c r="B433" s="254"/>
      <c r="C433" s="255"/>
      <c r="D433" s="256"/>
      <c r="E433" s="256"/>
      <c r="F433" s="256"/>
      <c r="G433" s="256"/>
      <c r="H433" s="256"/>
      <c r="I433" s="256"/>
      <c r="J433" s="257"/>
      <c r="K433" s="255"/>
      <c r="L433" s="256"/>
      <c r="M433" s="256"/>
      <c r="N433" s="256"/>
      <c r="O433" s="255"/>
      <c r="P433" s="255"/>
      <c r="Q433" s="256"/>
      <c r="R433" s="258"/>
      <c r="S433" s="15"/>
      <c r="T433" s="15"/>
      <c r="U433" s="15"/>
      <c r="V433" s="15"/>
    </row>
    <row r="434" spans="1:22">
      <c r="A434" s="253"/>
      <c r="B434" s="317"/>
      <c r="C434" s="318"/>
      <c r="D434" s="319"/>
      <c r="E434" s="319"/>
      <c r="F434" s="319"/>
      <c r="G434" s="319"/>
      <c r="H434" s="319"/>
      <c r="I434" s="319"/>
      <c r="J434" s="320"/>
      <c r="K434" s="318"/>
      <c r="L434" s="319"/>
      <c r="M434" s="319"/>
      <c r="N434" s="319"/>
      <c r="O434" s="318"/>
      <c r="P434" s="321"/>
      <c r="Q434" s="319"/>
      <c r="R434" s="322"/>
      <c r="S434" s="15"/>
      <c r="T434" s="15"/>
      <c r="U434" s="15"/>
      <c r="V434" s="15"/>
    </row>
    <row r="435" spans="1:22">
      <c r="A435" s="253"/>
      <c r="B435" s="234"/>
      <c r="C435" s="249"/>
      <c r="D435" s="250"/>
      <c r="E435" s="250"/>
      <c r="F435" s="250"/>
      <c r="G435" s="250"/>
      <c r="H435" s="250"/>
      <c r="I435" s="250"/>
      <c r="J435" s="251"/>
      <c r="K435" s="249"/>
      <c r="L435" s="250"/>
      <c r="M435" s="250"/>
      <c r="N435" s="250"/>
      <c r="O435" s="249"/>
      <c r="P435" s="249"/>
      <c r="Q435" s="250"/>
      <c r="R435" s="252"/>
      <c r="S435" s="15"/>
      <c r="T435" s="15"/>
      <c r="U435" s="15"/>
      <c r="V435" s="15"/>
    </row>
    <row r="436" spans="1:22">
      <c r="A436" s="253"/>
      <c r="B436" s="254"/>
      <c r="C436" s="255"/>
      <c r="D436" s="256"/>
      <c r="E436" s="256"/>
      <c r="F436" s="256"/>
      <c r="G436" s="256"/>
      <c r="H436" s="256"/>
      <c r="I436" s="256"/>
      <c r="J436" s="257"/>
      <c r="K436" s="255"/>
      <c r="L436" s="256"/>
      <c r="M436" s="256"/>
      <c r="N436" s="256"/>
      <c r="O436" s="255"/>
      <c r="P436" s="255"/>
      <c r="Q436" s="256"/>
      <c r="R436" s="258"/>
      <c r="S436" s="15"/>
      <c r="T436" s="15"/>
      <c r="U436" s="15"/>
      <c r="V436" s="15"/>
    </row>
    <row r="437" spans="1:22">
      <c r="A437" s="260"/>
      <c r="B437" s="317"/>
      <c r="C437" s="318"/>
      <c r="D437" s="319"/>
      <c r="E437" s="319"/>
      <c r="F437" s="319"/>
      <c r="G437" s="319"/>
      <c r="H437" s="319"/>
      <c r="I437" s="319"/>
      <c r="J437" s="320"/>
      <c r="K437" s="318"/>
      <c r="L437" s="319"/>
      <c r="M437" s="319"/>
      <c r="N437" s="319"/>
      <c r="O437" s="318"/>
      <c r="P437" s="321"/>
      <c r="Q437" s="319"/>
      <c r="R437" s="322"/>
      <c r="S437" s="15"/>
      <c r="T437" s="15"/>
      <c r="U437" s="15"/>
      <c r="V437" s="15"/>
    </row>
    <row r="438" spans="1:22">
      <c r="A438" s="248"/>
      <c r="B438" s="234"/>
      <c r="C438" s="249"/>
      <c r="D438" s="250"/>
      <c r="E438" s="250"/>
      <c r="F438" s="250"/>
      <c r="G438" s="250"/>
      <c r="H438" s="250"/>
      <c r="I438" s="250"/>
      <c r="J438" s="251"/>
      <c r="K438" s="249"/>
      <c r="L438" s="250"/>
      <c r="M438" s="250"/>
      <c r="N438" s="250"/>
      <c r="O438" s="249"/>
      <c r="P438" s="249"/>
      <c r="Q438" s="250"/>
      <c r="R438" s="252"/>
      <c r="S438" s="15"/>
      <c r="T438" s="15"/>
      <c r="U438" s="15"/>
      <c r="V438" s="15"/>
    </row>
    <row r="439" spans="1:22">
      <c r="A439" s="253"/>
      <c r="B439" s="254"/>
      <c r="C439" s="255"/>
      <c r="D439" s="256"/>
      <c r="E439" s="256"/>
      <c r="F439" s="256"/>
      <c r="G439" s="256"/>
      <c r="H439" s="256"/>
      <c r="I439" s="256"/>
      <c r="J439" s="257"/>
      <c r="K439" s="255"/>
      <c r="L439" s="256"/>
      <c r="M439" s="256"/>
      <c r="N439" s="256"/>
      <c r="O439" s="255"/>
      <c r="P439" s="255"/>
      <c r="Q439" s="256"/>
      <c r="R439" s="258"/>
      <c r="S439" s="15"/>
      <c r="T439" s="15"/>
      <c r="U439" s="15"/>
      <c r="V439" s="15"/>
    </row>
    <row r="440" spans="1:22">
      <c r="A440" s="253"/>
      <c r="B440" s="317"/>
      <c r="C440" s="318"/>
      <c r="D440" s="319"/>
      <c r="E440" s="319"/>
      <c r="F440" s="319"/>
      <c r="G440" s="331"/>
      <c r="H440" s="319"/>
      <c r="I440" s="319"/>
      <c r="J440" s="320"/>
      <c r="K440" s="318"/>
      <c r="L440" s="319"/>
      <c r="M440" s="331"/>
      <c r="N440" s="319"/>
      <c r="O440" s="318"/>
      <c r="P440" s="321"/>
      <c r="Q440" s="319"/>
      <c r="R440" s="322"/>
      <c r="S440" s="15"/>
      <c r="T440" s="15"/>
      <c r="U440" s="15"/>
      <c r="V440" s="15"/>
    </row>
    <row r="441" spans="1:22">
      <c r="A441" s="253"/>
      <c r="B441" s="234"/>
      <c r="C441" s="249"/>
      <c r="D441" s="250"/>
      <c r="E441" s="250"/>
      <c r="F441" s="250"/>
      <c r="G441" s="250"/>
      <c r="H441" s="250"/>
      <c r="I441" s="250"/>
      <c r="J441" s="251"/>
      <c r="K441" s="249"/>
      <c r="L441" s="250"/>
      <c r="M441" s="250"/>
      <c r="N441" s="250"/>
      <c r="O441" s="249"/>
      <c r="P441" s="249"/>
      <c r="Q441" s="250"/>
      <c r="R441" s="252"/>
      <c r="S441" s="15"/>
      <c r="T441" s="15"/>
      <c r="U441" s="15"/>
      <c r="V441" s="15"/>
    </row>
    <row r="442" spans="1:22">
      <c r="A442" s="253"/>
      <c r="B442" s="254"/>
      <c r="C442" s="255"/>
      <c r="D442" s="256"/>
      <c r="E442" s="256"/>
      <c r="F442" s="256"/>
      <c r="G442" s="256"/>
      <c r="H442" s="256"/>
      <c r="I442" s="256"/>
      <c r="J442" s="257"/>
      <c r="K442" s="255"/>
      <c r="L442" s="256"/>
      <c r="M442" s="256"/>
      <c r="N442" s="256"/>
      <c r="O442" s="255"/>
      <c r="P442" s="255"/>
      <c r="Q442" s="256"/>
      <c r="R442" s="258"/>
      <c r="S442" s="15"/>
      <c r="T442" s="15"/>
      <c r="U442" s="15"/>
      <c r="V442" s="15"/>
    </row>
    <row r="443" spans="1:22">
      <c r="A443" s="253"/>
      <c r="B443" s="317"/>
      <c r="C443" s="318"/>
      <c r="D443" s="319"/>
      <c r="E443" s="319"/>
      <c r="F443" s="319"/>
      <c r="G443" s="331"/>
      <c r="H443" s="319"/>
      <c r="I443" s="319"/>
      <c r="J443" s="320"/>
      <c r="K443" s="318"/>
      <c r="L443" s="319"/>
      <c r="M443" s="331"/>
      <c r="N443" s="319"/>
      <c r="O443" s="318"/>
      <c r="P443" s="321"/>
      <c r="Q443" s="319"/>
      <c r="R443" s="322"/>
      <c r="S443" s="15"/>
      <c r="T443" s="15"/>
      <c r="U443" s="15"/>
      <c r="V443" s="15"/>
    </row>
    <row r="444" spans="1:22">
      <c r="A444" s="253"/>
      <c r="B444" s="234"/>
      <c r="C444" s="249"/>
      <c r="D444" s="250"/>
      <c r="E444" s="250"/>
      <c r="F444" s="250"/>
      <c r="G444" s="250"/>
      <c r="H444" s="250"/>
      <c r="I444" s="250"/>
      <c r="J444" s="251"/>
      <c r="K444" s="249"/>
      <c r="L444" s="250"/>
      <c r="M444" s="250"/>
      <c r="N444" s="250"/>
      <c r="O444" s="249"/>
      <c r="P444" s="249"/>
      <c r="Q444" s="250"/>
      <c r="R444" s="252"/>
      <c r="S444" s="15"/>
      <c r="T444" s="15"/>
      <c r="U444" s="15"/>
      <c r="V444" s="15"/>
    </row>
    <row r="445" spans="1:22">
      <c r="A445" s="253"/>
      <c r="B445" s="254"/>
      <c r="C445" s="255"/>
      <c r="D445" s="256"/>
      <c r="E445" s="256"/>
      <c r="F445" s="256"/>
      <c r="G445" s="256"/>
      <c r="H445" s="256"/>
      <c r="I445" s="256"/>
      <c r="J445" s="257"/>
      <c r="K445" s="255"/>
      <c r="L445" s="256"/>
      <c r="M445" s="256"/>
      <c r="N445" s="256"/>
      <c r="O445" s="255"/>
      <c r="P445" s="255"/>
      <c r="Q445" s="256"/>
      <c r="R445" s="258"/>
      <c r="S445" s="15"/>
      <c r="T445" s="15"/>
      <c r="U445" s="15"/>
      <c r="V445" s="15"/>
    </row>
    <row r="446" spans="1:22">
      <c r="A446" s="253"/>
      <c r="B446" s="317"/>
      <c r="C446" s="318"/>
      <c r="D446" s="319"/>
      <c r="E446" s="319"/>
      <c r="F446" s="319"/>
      <c r="G446" s="319"/>
      <c r="H446" s="319"/>
      <c r="I446" s="319"/>
      <c r="J446" s="320"/>
      <c r="K446" s="318"/>
      <c r="L446" s="319"/>
      <c r="M446" s="319"/>
      <c r="N446" s="319"/>
      <c r="O446" s="318"/>
      <c r="P446" s="321"/>
      <c r="Q446" s="319"/>
      <c r="R446" s="322"/>
      <c r="S446" s="15"/>
      <c r="T446" s="15"/>
      <c r="U446" s="15"/>
      <c r="V446" s="15"/>
    </row>
    <row r="447" spans="1:22">
      <c r="A447" s="253"/>
      <c r="B447" s="234"/>
      <c r="C447" s="249"/>
      <c r="D447" s="250"/>
      <c r="E447" s="250"/>
      <c r="F447" s="250"/>
      <c r="G447" s="250"/>
      <c r="H447" s="250"/>
      <c r="I447" s="250"/>
      <c r="J447" s="251"/>
      <c r="K447" s="249"/>
      <c r="L447" s="250"/>
      <c r="M447" s="250"/>
      <c r="N447" s="250"/>
      <c r="O447" s="249"/>
      <c r="P447" s="249"/>
      <c r="Q447" s="250"/>
      <c r="R447" s="252"/>
      <c r="S447" s="15"/>
      <c r="T447" s="15"/>
      <c r="U447" s="15"/>
      <c r="V447" s="15"/>
    </row>
    <row r="448" spans="1:22">
      <c r="A448" s="253"/>
      <c r="B448" s="254"/>
      <c r="C448" s="255"/>
      <c r="D448" s="256"/>
      <c r="E448" s="256"/>
      <c r="F448" s="256"/>
      <c r="G448" s="256"/>
      <c r="H448" s="256"/>
      <c r="I448" s="256"/>
      <c r="J448" s="257"/>
      <c r="K448" s="255"/>
      <c r="L448" s="256"/>
      <c r="M448" s="256"/>
      <c r="N448" s="256"/>
      <c r="O448" s="255"/>
      <c r="P448" s="255"/>
      <c r="Q448" s="256"/>
      <c r="R448" s="258"/>
      <c r="S448" s="15"/>
      <c r="T448" s="15"/>
      <c r="U448" s="15"/>
      <c r="V448" s="15"/>
    </row>
    <row r="449" spans="1:22">
      <c r="A449" s="253"/>
      <c r="B449" s="317"/>
      <c r="C449" s="318"/>
      <c r="D449" s="319"/>
      <c r="E449" s="319"/>
      <c r="F449" s="319"/>
      <c r="G449" s="319"/>
      <c r="H449" s="319"/>
      <c r="I449" s="319"/>
      <c r="J449" s="320"/>
      <c r="K449" s="318"/>
      <c r="L449" s="319"/>
      <c r="M449" s="319"/>
      <c r="N449" s="319"/>
      <c r="O449" s="318"/>
      <c r="P449" s="321"/>
      <c r="Q449" s="319"/>
      <c r="R449" s="322"/>
      <c r="S449" s="15"/>
      <c r="T449" s="15"/>
      <c r="U449" s="15"/>
      <c r="V449" s="15"/>
    </row>
    <row r="450" spans="1:22">
      <c r="A450" s="253"/>
      <c r="B450" s="234"/>
      <c r="C450" s="249"/>
      <c r="D450" s="250"/>
      <c r="E450" s="250"/>
      <c r="F450" s="250"/>
      <c r="G450" s="250"/>
      <c r="H450" s="250"/>
      <c r="I450" s="250"/>
      <c r="J450" s="251"/>
      <c r="K450" s="249"/>
      <c r="L450" s="250"/>
      <c r="M450" s="250"/>
      <c r="N450" s="250"/>
      <c r="O450" s="249"/>
      <c r="P450" s="249"/>
      <c r="Q450" s="250"/>
      <c r="R450" s="252"/>
      <c r="S450" s="15"/>
      <c r="T450" s="15"/>
      <c r="U450" s="15"/>
      <c r="V450" s="15"/>
    </row>
    <row r="451" spans="1:22">
      <c r="A451" s="253"/>
      <c r="B451" s="254"/>
      <c r="C451" s="255"/>
      <c r="D451" s="256"/>
      <c r="E451" s="256"/>
      <c r="F451" s="256"/>
      <c r="G451" s="256"/>
      <c r="H451" s="256"/>
      <c r="I451" s="256"/>
      <c r="J451" s="257"/>
      <c r="K451" s="255"/>
      <c r="L451" s="256"/>
      <c r="M451" s="256"/>
      <c r="N451" s="256"/>
      <c r="O451" s="255"/>
      <c r="P451" s="255"/>
      <c r="Q451" s="256"/>
      <c r="R451" s="258"/>
      <c r="S451" s="15"/>
      <c r="T451" s="15"/>
      <c r="U451" s="15"/>
      <c r="V451" s="15"/>
    </row>
    <row r="452" spans="1:22">
      <c r="A452" s="253"/>
      <c r="B452" s="317"/>
      <c r="C452" s="318"/>
      <c r="D452" s="319"/>
      <c r="E452" s="319"/>
      <c r="F452" s="319"/>
      <c r="G452" s="319"/>
      <c r="H452" s="319"/>
      <c r="I452" s="319"/>
      <c r="J452" s="320"/>
      <c r="K452" s="318"/>
      <c r="L452" s="319"/>
      <c r="M452" s="319"/>
      <c r="N452" s="319"/>
      <c r="O452" s="318"/>
      <c r="P452" s="321"/>
      <c r="Q452" s="319"/>
      <c r="R452" s="322"/>
      <c r="S452" s="15"/>
      <c r="T452" s="15"/>
      <c r="U452" s="15"/>
      <c r="V452" s="15"/>
    </row>
    <row r="453" spans="1:22">
      <c r="A453" s="253"/>
      <c r="B453" s="234"/>
      <c r="C453" s="249"/>
      <c r="D453" s="250"/>
      <c r="E453" s="250"/>
      <c r="F453" s="250"/>
      <c r="G453" s="250"/>
      <c r="H453" s="250"/>
      <c r="I453" s="250"/>
      <c r="J453" s="251"/>
      <c r="K453" s="249"/>
      <c r="L453" s="250"/>
      <c r="M453" s="250"/>
      <c r="N453" s="250"/>
      <c r="O453" s="249"/>
      <c r="P453" s="249"/>
      <c r="Q453" s="250"/>
      <c r="R453" s="252"/>
      <c r="S453" s="15"/>
      <c r="T453" s="15"/>
      <c r="U453" s="15"/>
      <c r="V453" s="15"/>
    </row>
    <row r="454" spans="1:22">
      <c r="A454" s="253"/>
      <c r="B454" s="254"/>
      <c r="C454" s="255"/>
      <c r="D454" s="256"/>
      <c r="E454" s="256"/>
      <c r="F454" s="256"/>
      <c r="G454" s="256"/>
      <c r="H454" s="256"/>
      <c r="I454" s="256"/>
      <c r="J454" s="257"/>
      <c r="K454" s="255"/>
      <c r="L454" s="256"/>
      <c r="M454" s="256"/>
      <c r="N454" s="256"/>
      <c r="O454" s="255"/>
      <c r="P454" s="255"/>
      <c r="Q454" s="256"/>
      <c r="R454" s="258"/>
      <c r="S454" s="15"/>
      <c r="T454" s="15"/>
      <c r="U454" s="15"/>
      <c r="V454" s="15"/>
    </row>
    <row r="455" spans="1:22">
      <c r="A455" s="253"/>
      <c r="B455" s="317"/>
      <c r="C455" s="318"/>
      <c r="D455" s="319"/>
      <c r="E455" s="319"/>
      <c r="F455" s="319"/>
      <c r="G455" s="319"/>
      <c r="H455" s="319"/>
      <c r="I455" s="319"/>
      <c r="J455" s="320"/>
      <c r="K455" s="318"/>
      <c r="L455" s="319"/>
      <c r="M455" s="319"/>
      <c r="N455" s="319"/>
      <c r="O455" s="318"/>
      <c r="P455" s="321"/>
      <c r="Q455" s="319"/>
      <c r="R455" s="322"/>
      <c r="S455" s="15"/>
      <c r="T455" s="15"/>
      <c r="U455" s="15"/>
      <c r="V455" s="15"/>
    </row>
    <row r="456" spans="1:22">
      <c r="A456" s="253"/>
      <c r="B456" s="234"/>
      <c r="C456" s="249"/>
      <c r="D456" s="250"/>
      <c r="E456" s="250"/>
      <c r="F456" s="250"/>
      <c r="G456" s="250"/>
      <c r="H456" s="250"/>
      <c r="I456" s="250"/>
      <c r="J456" s="251"/>
      <c r="K456" s="249"/>
      <c r="L456" s="250"/>
      <c r="M456" s="250"/>
      <c r="N456" s="250"/>
      <c r="O456" s="249"/>
      <c r="P456" s="249"/>
      <c r="Q456" s="250"/>
      <c r="R456" s="252"/>
      <c r="S456" s="15"/>
      <c r="T456" s="15"/>
      <c r="U456" s="15"/>
      <c r="V456" s="15"/>
    </row>
    <row r="457" spans="1:22">
      <c r="A457" s="253"/>
      <c r="B457" s="254"/>
      <c r="C457" s="255"/>
      <c r="D457" s="256"/>
      <c r="E457" s="256"/>
      <c r="F457" s="256"/>
      <c r="G457" s="256"/>
      <c r="H457" s="256"/>
      <c r="I457" s="256"/>
      <c r="J457" s="257"/>
      <c r="K457" s="255"/>
      <c r="L457" s="256"/>
      <c r="M457" s="256"/>
      <c r="N457" s="256"/>
      <c r="O457" s="255"/>
      <c r="P457" s="255"/>
      <c r="Q457" s="256"/>
      <c r="R457" s="258"/>
      <c r="S457" s="15"/>
      <c r="T457" s="15"/>
      <c r="U457" s="15"/>
      <c r="V457" s="15"/>
    </row>
    <row r="458" spans="1:22">
      <c r="A458" s="253"/>
      <c r="B458" s="317"/>
      <c r="C458" s="318"/>
      <c r="D458" s="331"/>
      <c r="E458" s="319"/>
      <c r="F458" s="319"/>
      <c r="G458" s="331"/>
      <c r="H458" s="319"/>
      <c r="I458" s="319"/>
      <c r="J458" s="320"/>
      <c r="K458" s="318"/>
      <c r="L458" s="319"/>
      <c r="M458" s="319"/>
      <c r="N458" s="319"/>
      <c r="O458" s="318"/>
      <c r="P458" s="321"/>
      <c r="Q458" s="319"/>
      <c r="R458" s="322"/>
      <c r="S458" s="15"/>
      <c r="T458" s="15"/>
      <c r="U458" s="15"/>
      <c r="V458" s="15"/>
    </row>
    <row r="459" spans="1:22">
      <c r="A459" s="253"/>
      <c r="B459" s="234"/>
      <c r="C459" s="249"/>
      <c r="D459" s="250"/>
      <c r="E459" s="250"/>
      <c r="F459" s="250"/>
      <c r="G459" s="250"/>
      <c r="H459" s="250"/>
      <c r="I459" s="250"/>
      <c r="J459" s="251"/>
      <c r="K459" s="249"/>
      <c r="L459" s="250"/>
      <c r="M459" s="250"/>
      <c r="N459" s="250"/>
      <c r="O459" s="249"/>
      <c r="P459" s="249"/>
      <c r="Q459" s="250"/>
      <c r="R459" s="252"/>
      <c r="S459" s="15"/>
      <c r="T459" s="15"/>
      <c r="U459" s="15"/>
      <c r="V459" s="15"/>
    </row>
    <row r="460" spans="1:22">
      <c r="A460" s="253"/>
      <c r="B460" s="254"/>
      <c r="C460" s="255"/>
      <c r="D460" s="256"/>
      <c r="E460" s="256"/>
      <c r="F460" s="256"/>
      <c r="G460" s="256"/>
      <c r="H460" s="256"/>
      <c r="I460" s="256"/>
      <c r="J460" s="257"/>
      <c r="K460" s="255"/>
      <c r="L460" s="256"/>
      <c r="M460" s="256"/>
      <c r="N460" s="256"/>
      <c r="O460" s="255"/>
      <c r="P460" s="255"/>
      <c r="Q460" s="256"/>
      <c r="R460" s="258"/>
      <c r="S460" s="15"/>
      <c r="T460" s="15"/>
      <c r="U460" s="15"/>
      <c r="V460" s="15"/>
    </row>
    <row r="461" spans="1:22">
      <c r="A461" s="253"/>
      <c r="B461" s="317"/>
      <c r="C461" s="318"/>
      <c r="D461" s="331"/>
      <c r="E461" s="319"/>
      <c r="F461" s="319"/>
      <c r="G461" s="319"/>
      <c r="H461" s="319"/>
      <c r="I461" s="319"/>
      <c r="J461" s="320"/>
      <c r="K461" s="318"/>
      <c r="L461" s="319"/>
      <c r="M461" s="319"/>
      <c r="N461" s="319"/>
      <c r="O461" s="318"/>
      <c r="P461" s="321"/>
      <c r="Q461" s="319"/>
      <c r="R461" s="322"/>
      <c r="S461" s="15"/>
      <c r="T461" s="15"/>
      <c r="U461" s="15"/>
      <c r="V461" s="15"/>
    </row>
    <row r="462" spans="1:22">
      <c r="A462" s="253"/>
      <c r="B462" s="234"/>
      <c r="C462" s="249"/>
      <c r="D462" s="250"/>
      <c r="E462" s="250"/>
      <c r="F462" s="250"/>
      <c r="G462" s="250"/>
      <c r="H462" s="250"/>
      <c r="I462" s="250"/>
      <c r="J462" s="251"/>
      <c r="K462" s="249"/>
      <c r="L462" s="250"/>
      <c r="M462" s="250"/>
      <c r="N462" s="250"/>
      <c r="O462" s="249"/>
      <c r="P462" s="249"/>
      <c r="Q462" s="250"/>
      <c r="R462" s="252"/>
      <c r="S462" s="15"/>
      <c r="T462" s="15"/>
      <c r="U462" s="15"/>
      <c r="V462" s="15"/>
    </row>
    <row r="463" spans="1:22">
      <c r="A463" s="253"/>
      <c r="B463" s="254"/>
      <c r="C463" s="255"/>
      <c r="D463" s="256"/>
      <c r="E463" s="256"/>
      <c r="F463" s="256"/>
      <c r="G463" s="256"/>
      <c r="H463" s="256"/>
      <c r="I463" s="256"/>
      <c r="J463" s="257"/>
      <c r="K463" s="255"/>
      <c r="L463" s="256"/>
      <c r="M463" s="256"/>
      <c r="N463" s="256"/>
      <c r="O463" s="255"/>
      <c r="P463" s="255"/>
      <c r="Q463" s="256"/>
      <c r="R463" s="258"/>
      <c r="S463" s="15"/>
      <c r="T463" s="15"/>
      <c r="U463" s="15"/>
      <c r="V463" s="15"/>
    </row>
    <row r="464" spans="1:22">
      <c r="A464" s="253"/>
      <c r="B464" s="317"/>
      <c r="C464" s="318"/>
      <c r="D464" s="319"/>
      <c r="E464" s="319"/>
      <c r="F464" s="319"/>
      <c r="G464" s="331"/>
      <c r="H464" s="319"/>
      <c r="I464" s="319"/>
      <c r="J464" s="320"/>
      <c r="K464" s="318"/>
      <c r="L464" s="319"/>
      <c r="M464" s="319"/>
      <c r="N464" s="319"/>
      <c r="O464" s="318"/>
      <c r="P464" s="321"/>
      <c r="Q464" s="319"/>
      <c r="R464" s="322"/>
      <c r="S464" s="15"/>
      <c r="T464" s="15"/>
      <c r="U464" s="15"/>
      <c r="V464" s="15"/>
    </row>
    <row r="465" spans="1:22">
      <c r="A465" s="253"/>
      <c r="B465" s="234"/>
      <c r="C465" s="249"/>
      <c r="D465" s="250"/>
      <c r="E465" s="250"/>
      <c r="F465" s="250"/>
      <c r="G465" s="250"/>
      <c r="H465" s="250"/>
      <c r="I465" s="250"/>
      <c r="J465" s="251"/>
      <c r="K465" s="249"/>
      <c r="L465" s="250"/>
      <c r="M465" s="250"/>
      <c r="N465" s="250"/>
      <c r="O465" s="249"/>
      <c r="P465" s="249"/>
      <c r="Q465" s="250"/>
      <c r="R465" s="252"/>
      <c r="S465" s="15"/>
      <c r="T465" s="15"/>
      <c r="U465" s="15"/>
      <c r="V465" s="15"/>
    </row>
    <row r="466" spans="1:22">
      <c r="A466" s="253"/>
      <c r="B466" s="254"/>
      <c r="C466" s="255"/>
      <c r="D466" s="256"/>
      <c r="E466" s="256"/>
      <c r="F466" s="256"/>
      <c r="G466" s="256"/>
      <c r="H466" s="256"/>
      <c r="I466" s="256"/>
      <c r="J466" s="257"/>
      <c r="K466" s="255"/>
      <c r="L466" s="256"/>
      <c r="M466" s="256"/>
      <c r="N466" s="256"/>
      <c r="O466" s="255"/>
      <c r="P466" s="255"/>
      <c r="Q466" s="256"/>
      <c r="R466" s="258"/>
      <c r="S466" s="15"/>
      <c r="T466" s="15"/>
      <c r="U466" s="15"/>
      <c r="V466" s="15"/>
    </row>
    <row r="467" spans="1:22">
      <c r="A467" s="253"/>
      <c r="B467" s="317"/>
      <c r="C467" s="318"/>
      <c r="D467" s="319"/>
      <c r="E467" s="319"/>
      <c r="F467" s="319"/>
      <c r="G467" s="331"/>
      <c r="H467" s="319"/>
      <c r="I467" s="319"/>
      <c r="J467" s="320"/>
      <c r="K467" s="318"/>
      <c r="L467" s="319"/>
      <c r="M467" s="319"/>
      <c r="N467" s="319"/>
      <c r="O467" s="318"/>
      <c r="P467" s="321"/>
      <c r="Q467" s="319"/>
      <c r="R467" s="322"/>
      <c r="S467" s="15"/>
      <c r="T467" s="15"/>
      <c r="U467" s="15"/>
      <c r="V467" s="15"/>
    </row>
    <row r="468" spans="1:22">
      <c r="A468" s="253"/>
      <c r="B468" s="234"/>
      <c r="C468" s="249"/>
      <c r="D468" s="250"/>
      <c r="E468" s="250"/>
      <c r="F468" s="250"/>
      <c r="G468" s="250"/>
      <c r="H468" s="250"/>
      <c r="I468" s="250"/>
      <c r="J468" s="251"/>
      <c r="K468" s="249"/>
      <c r="L468" s="250"/>
      <c r="M468" s="250"/>
      <c r="N468" s="250"/>
      <c r="O468" s="249"/>
      <c r="P468" s="249"/>
      <c r="Q468" s="250"/>
      <c r="R468" s="252"/>
      <c r="S468" s="15"/>
      <c r="T468" s="15"/>
      <c r="U468" s="15"/>
      <c r="V468" s="15"/>
    </row>
    <row r="469" spans="1:22">
      <c r="A469" s="253"/>
      <c r="B469" s="254"/>
      <c r="C469" s="255"/>
      <c r="D469" s="256"/>
      <c r="E469" s="256"/>
      <c r="F469" s="256"/>
      <c r="G469" s="256"/>
      <c r="H469" s="256"/>
      <c r="I469" s="256"/>
      <c r="J469" s="257"/>
      <c r="K469" s="255"/>
      <c r="L469" s="256"/>
      <c r="M469" s="256"/>
      <c r="N469" s="256"/>
      <c r="O469" s="255"/>
      <c r="P469" s="255"/>
      <c r="Q469" s="256"/>
      <c r="R469" s="258"/>
      <c r="S469" s="15"/>
      <c r="T469" s="15"/>
      <c r="U469" s="15"/>
      <c r="V469" s="15"/>
    </row>
    <row r="470" spans="1:22">
      <c r="A470" s="253"/>
      <c r="B470" s="317"/>
      <c r="C470" s="318"/>
      <c r="D470" s="319"/>
      <c r="E470" s="319"/>
      <c r="F470" s="319"/>
      <c r="G470" s="319"/>
      <c r="H470" s="319"/>
      <c r="I470" s="319"/>
      <c r="J470" s="320"/>
      <c r="K470" s="318"/>
      <c r="L470" s="319"/>
      <c r="M470" s="319"/>
      <c r="N470" s="319"/>
      <c r="O470" s="318"/>
      <c r="P470" s="321"/>
      <c r="Q470" s="319"/>
      <c r="R470" s="322"/>
      <c r="S470" s="15"/>
      <c r="T470" s="15"/>
      <c r="U470" s="15"/>
      <c r="V470" s="15"/>
    </row>
    <row r="471" spans="1:22">
      <c r="A471" s="253"/>
      <c r="B471" s="234"/>
      <c r="C471" s="249"/>
      <c r="D471" s="250"/>
      <c r="E471" s="250"/>
      <c r="F471" s="250"/>
      <c r="G471" s="250"/>
      <c r="H471" s="250"/>
      <c r="I471" s="250"/>
      <c r="J471" s="251"/>
      <c r="K471" s="249"/>
      <c r="L471" s="250"/>
      <c r="M471" s="250"/>
      <c r="N471" s="250"/>
      <c r="O471" s="249"/>
      <c r="P471" s="249"/>
      <c r="Q471" s="250"/>
      <c r="R471" s="252"/>
      <c r="S471" s="15"/>
      <c r="T471" s="15"/>
      <c r="U471" s="15"/>
      <c r="V471" s="15"/>
    </row>
    <row r="472" spans="1:22">
      <c r="A472" s="253"/>
      <c r="B472" s="254"/>
      <c r="C472" s="255"/>
      <c r="D472" s="256"/>
      <c r="E472" s="256"/>
      <c r="F472" s="256"/>
      <c r="G472" s="256"/>
      <c r="H472" s="256"/>
      <c r="I472" s="256"/>
      <c r="J472" s="257"/>
      <c r="K472" s="255"/>
      <c r="L472" s="256"/>
      <c r="M472" s="256"/>
      <c r="N472" s="256"/>
      <c r="O472" s="255"/>
      <c r="P472" s="255"/>
      <c r="Q472" s="256"/>
      <c r="R472" s="258"/>
      <c r="S472" s="15"/>
      <c r="T472" s="15"/>
      <c r="U472" s="15"/>
      <c r="V472" s="15"/>
    </row>
    <row r="473" spans="1:22">
      <c r="A473" s="260"/>
      <c r="B473" s="317"/>
      <c r="C473" s="318"/>
      <c r="D473" s="331"/>
      <c r="E473" s="319"/>
      <c r="F473" s="319"/>
      <c r="G473" s="319"/>
      <c r="H473" s="319"/>
      <c r="I473" s="319"/>
      <c r="J473" s="320"/>
      <c r="K473" s="318"/>
      <c r="L473" s="319"/>
      <c r="M473" s="319"/>
      <c r="N473" s="319"/>
      <c r="O473" s="318"/>
      <c r="P473" s="321"/>
      <c r="Q473" s="319"/>
      <c r="R473" s="322"/>
      <c r="S473" s="15"/>
      <c r="T473" s="15"/>
      <c r="U473" s="15"/>
      <c r="V473" s="15"/>
    </row>
    <row r="474" spans="1:22">
      <c r="A474" s="248"/>
      <c r="B474" s="234"/>
      <c r="C474" s="249"/>
      <c r="D474" s="250"/>
      <c r="E474" s="250"/>
      <c r="F474" s="250"/>
      <c r="G474" s="250"/>
      <c r="H474" s="250"/>
      <c r="I474" s="250"/>
      <c r="J474" s="251"/>
      <c r="K474" s="249"/>
      <c r="L474" s="250"/>
      <c r="M474" s="250"/>
      <c r="N474" s="250"/>
      <c r="O474" s="249"/>
      <c r="P474" s="249"/>
      <c r="Q474" s="250"/>
      <c r="R474" s="252"/>
      <c r="S474" s="15"/>
      <c r="T474" s="15"/>
      <c r="U474" s="15"/>
      <c r="V474" s="15"/>
    </row>
    <row r="475" spans="1:22">
      <c r="A475" s="253"/>
      <c r="B475" s="254"/>
      <c r="C475" s="255"/>
      <c r="D475" s="256"/>
      <c r="E475" s="256"/>
      <c r="F475" s="256"/>
      <c r="G475" s="256"/>
      <c r="H475" s="256"/>
      <c r="I475" s="256"/>
      <c r="J475" s="257"/>
      <c r="K475" s="255"/>
      <c r="L475" s="256"/>
      <c r="M475" s="256"/>
      <c r="N475" s="256"/>
      <c r="O475" s="255"/>
      <c r="P475" s="255"/>
      <c r="Q475" s="256"/>
      <c r="R475" s="258"/>
      <c r="S475" s="15"/>
      <c r="T475" s="15"/>
      <c r="U475" s="15"/>
      <c r="V475" s="15"/>
    </row>
    <row r="476" spans="1:22">
      <c r="A476" s="253"/>
      <c r="B476" s="317"/>
      <c r="C476" s="318"/>
      <c r="D476" s="319"/>
      <c r="E476" s="319"/>
      <c r="F476" s="331"/>
      <c r="G476" s="331"/>
      <c r="H476" s="319"/>
      <c r="I476" s="319"/>
      <c r="J476" s="320"/>
      <c r="K476" s="318"/>
      <c r="L476" s="319"/>
      <c r="M476" s="319"/>
      <c r="N476" s="319"/>
      <c r="O476" s="318"/>
      <c r="P476" s="321"/>
      <c r="Q476" s="319"/>
      <c r="R476" s="322"/>
      <c r="S476" s="15"/>
      <c r="T476" s="15"/>
      <c r="U476" s="15"/>
      <c r="V476" s="15"/>
    </row>
    <row r="477" spans="1:22">
      <c r="A477" s="253"/>
      <c r="B477" s="234"/>
      <c r="C477" s="249"/>
      <c r="D477" s="250"/>
      <c r="E477" s="250"/>
      <c r="F477" s="250"/>
      <c r="G477" s="250"/>
      <c r="H477" s="250"/>
      <c r="I477" s="250"/>
      <c r="J477" s="251"/>
      <c r="K477" s="249"/>
      <c r="L477" s="250"/>
      <c r="M477" s="250"/>
      <c r="N477" s="250"/>
      <c r="O477" s="249"/>
      <c r="P477" s="249"/>
      <c r="Q477" s="250"/>
      <c r="R477" s="252"/>
      <c r="S477" s="15"/>
      <c r="T477" s="15"/>
      <c r="U477" s="15"/>
      <c r="V477" s="15"/>
    </row>
    <row r="478" spans="1:22">
      <c r="A478" s="253"/>
      <c r="B478" s="254"/>
      <c r="C478" s="255"/>
      <c r="D478" s="256"/>
      <c r="E478" s="256"/>
      <c r="F478" s="256"/>
      <c r="G478" s="256"/>
      <c r="H478" s="256"/>
      <c r="I478" s="256"/>
      <c r="J478" s="257"/>
      <c r="K478" s="255"/>
      <c r="L478" s="256"/>
      <c r="M478" s="256"/>
      <c r="N478" s="256"/>
      <c r="O478" s="255"/>
      <c r="P478" s="255"/>
      <c r="Q478" s="256"/>
      <c r="R478" s="258"/>
      <c r="S478" s="15"/>
      <c r="T478" s="15"/>
      <c r="U478" s="15"/>
      <c r="V478" s="15"/>
    </row>
    <row r="479" spans="1:22">
      <c r="A479" s="253"/>
      <c r="B479" s="317"/>
      <c r="C479" s="318"/>
      <c r="D479" s="319"/>
      <c r="E479" s="319"/>
      <c r="F479" s="331"/>
      <c r="G479" s="319"/>
      <c r="H479" s="319"/>
      <c r="I479" s="319"/>
      <c r="J479" s="320"/>
      <c r="K479" s="318"/>
      <c r="L479" s="319"/>
      <c r="M479" s="319"/>
      <c r="N479" s="319"/>
      <c r="O479" s="318"/>
      <c r="P479" s="321"/>
      <c r="Q479" s="319"/>
      <c r="R479" s="322"/>
      <c r="S479" s="15"/>
      <c r="T479" s="15"/>
      <c r="U479" s="15"/>
      <c r="V479" s="15"/>
    </row>
    <row r="480" spans="1:22">
      <c r="A480" s="253"/>
      <c r="B480" s="234"/>
      <c r="C480" s="249"/>
      <c r="D480" s="250"/>
      <c r="E480" s="250"/>
      <c r="F480" s="250"/>
      <c r="G480" s="250"/>
      <c r="H480" s="250"/>
      <c r="I480" s="250"/>
      <c r="J480" s="251"/>
      <c r="K480" s="249"/>
      <c r="L480" s="250"/>
      <c r="M480" s="250"/>
      <c r="N480" s="250"/>
      <c r="O480" s="249"/>
      <c r="P480" s="249"/>
      <c r="Q480" s="250"/>
      <c r="R480" s="252"/>
      <c r="S480" s="15"/>
      <c r="T480" s="15"/>
      <c r="U480" s="15"/>
      <c r="V480" s="15"/>
    </row>
    <row r="481" spans="1:22">
      <c r="A481" s="253"/>
      <c r="B481" s="254"/>
      <c r="C481" s="255"/>
      <c r="D481" s="256"/>
      <c r="E481" s="256"/>
      <c r="F481" s="256"/>
      <c r="G481" s="256"/>
      <c r="H481" s="256"/>
      <c r="I481" s="256"/>
      <c r="J481" s="257"/>
      <c r="K481" s="255"/>
      <c r="L481" s="256"/>
      <c r="M481" s="256"/>
      <c r="N481" s="256"/>
      <c r="O481" s="255"/>
      <c r="P481" s="255"/>
      <c r="Q481" s="256"/>
      <c r="R481" s="258"/>
      <c r="S481" s="15"/>
      <c r="T481" s="15"/>
      <c r="U481" s="15"/>
      <c r="V481" s="15"/>
    </row>
    <row r="482" spans="1:22">
      <c r="A482" s="253"/>
      <c r="B482" s="317"/>
      <c r="C482" s="318"/>
      <c r="D482" s="319"/>
      <c r="E482" s="319"/>
      <c r="F482" s="331"/>
      <c r="G482" s="331"/>
      <c r="H482" s="319"/>
      <c r="I482" s="319"/>
      <c r="J482" s="320"/>
      <c r="K482" s="318"/>
      <c r="L482" s="319"/>
      <c r="M482" s="319"/>
      <c r="N482" s="319"/>
      <c r="O482" s="318"/>
      <c r="P482" s="321"/>
      <c r="Q482" s="319"/>
      <c r="R482" s="322"/>
      <c r="S482" s="15"/>
      <c r="T482" s="15"/>
      <c r="U482" s="15"/>
      <c r="V482" s="15"/>
    </row>
    <row r="483" spans="1:22">
      <c r="A483" s="253"/>
      <c r="B483" s="234"/>
      <c r="C483" s="249"/>
      <c r="D483" s="250"/>
      <c r="E483" s="250"/>
      <c r="F483" s="250"/>
      <c r="G483" s="250"/>
      <c r="H483" s="250"/>
      <c r="I483" s="250"/>
      <c r="J483" s="251"/>
      <c r="K483" s="249"/>
      <c r="L483" s="250"/>
      <c r="M483" s="250"/>
      <c r="N483" s="250"/>
      <c r="O483" s="249"/>
      <c r="P483" s="249"/>
      <c r="Q483" s="250"/>
      <c r="R483" s="252"/>
      <c r="S483" s="15"/>
      <c r="T483" s="15"/>
      <c r="U483" s="15"/>
      <c r="V483" s="15"/>
    </row>
    <row r="484" spans="1:22">
      <c r="A484" s="253"/>
      <c r="B484" s="254"/>
      <c r="C484" s="255"/>
      <c r="D484" s="256"/>
      <c r="E484" s="256"/>
      <c r="F484" s="256"/>
      <c r="G484" s="256"/>
      <c r="H484" s="256"/>
      <c r="I484" s="256"/>
      <c r="J484" s="257"/>
      <c r="K484" s="255"/>
      <c r="L484" s="256"/>
      <c r="M484" s="256"/>
      <c r="N484" s="256"/>
      <c r="O484" s="255"/>
      <c r="P484" s="255"/>
      <c r="Q484" s="256"/>
      <c r="R484" s="258"/>
      <c r="S484" s="15"/>
      <c r="T484" s="15"/>
      <c r="U484" s="15"/>
      <c r="V484" s="15"/>
    </row>
    <row r="485" spans="1:22">
      <c r="A485" s="253"/>
      <c r="B485" s="317"/>
      <c r="C485" s="318"/>
      <c r="D485" s="319"/>
      <c r="E485" s="319"/>
      <c r="F485" s="319"/>
      <c r="G485" s="319"/>
      <c r="H485" s="319"/>
      <c r="I485" s="319"/>
      <c r="J485" s="320"/>
      <c r="K485" s="318"/>
      <c r="L485" s="319"/>
      <c r="M485" s="319"/>
      <c r="N485" s="319"/>
      <c r="O485" s="318"/>
      <c r="P485" s="321"/>
      <c r="Q485" s="319"/>
      <c r="R485" s="322"/>
      <c r="S485" s="15"/>
      <c r="T485" s="15"/>
      <c r="U485" s="15"/>
      <c r="V485" s="15"/>
    </row>
    <row r="486" spans="1:22">
      <c r="A486" s="253"/>
      <c r="B486" s="234"/>
      <c r="C486" s="249"/>
      <c r="D486" s="250"/>
      <c r="E486" s="250"/>
      <c r="F486" s="250"/>
      <c r="G486" s="250"/>
      <c r="H486" s="250"/>
      <c r="I486" s="250"/>
      <c r="J486" s="251"/>
      <c r="K486" s="249"/>
      <c r="L486" s="250"/>
      <c r="M486" s="250"/>
      <c r="N486" s="250"/>
      <c r="O486" s="249"/>
      <c r="P486" s="249"/>
      <c r="Q486" s="250"/>
      <c r="R486" s="252"/>
      <c r="S486" s="15"/>
      <c r="T486" s="15"/>
      <c r="U486" s="15"/>
      <c r="V486" s="15"/>
    </row>
    <row r="487" spans="1:22">
      <c r="A487" s="253"/>
      <c r="B487" s="254"/>
      <c r="C487" s="255"/>
      <c r="D487" s="256"/>
      <c r="E487" s="256"/>
      <c r="F487" s="256"/>
      <c r="G487" s="256"/>
      <c r="H487" s="256"/>
      <c r="I487" s="256"/>
      <c r="J487" s="257"/>
      <c r="K487" s="255"/>
      <c r="L487" s="256"/>
      <c r="M487" s="256"/>
      <c r="N487" s="256"/>
      <c r="O487" s="255"/>
      <c r="P487" s="255"/>
      <c r="Q487" s="256"/>
      <c r="R487" s="258"/>
      <c r="S487" s="15"/>
      <c r="T487" s="15"/>
      <c r="U487" s="15"/>
      <c r="V487" s="15"/>
    </row>
    <row r="488" spans="1:22">
      <c r="A488" s="253"/>
      <c r="B488" s="317"/>
      <c r="C488" s="318"/>
      <c r="D488" s="319"/>
      <c r="E488" s="319"/>
      <c r="F488" s="319"/>
      <c r="G488" s="319"/>
      <c r="H488" s="319"/>
      <c r="I488" s="319"/>
      <c r="J488" s="320"/>
      <c r="K488" s="318"/>
      <c r="L488" s="319"/>
      <c r="M488" s="319"/>
      <c r="N488" s="319"/>
      <c r="O488" s="318"/>
      <c r="P488" s="321"/>
      <c r="Q488" s="319"/>
      <c r="R488" s="322"/>
      <c r="S488" s="15"/>
      <c r="T488" s="15"/>
      <c r="U488" s="15"/>
      <c r="V488" s="15"/>
    </row>
    <row r="489" spans="1:22">
      <c r="A489" s="253"/>
      <c r="B489" s="234"/>
      <c r="C489" s="249"/>
      <c r="D489" s="250"/>
      <c r="E489" s="250"/>
      <c r="F489" s="250"/>
      <c r="G489" s="250"/>
      <c r="H489" s="250"/>
      <c r="I489" s="250"/>
      <c r="J489" s="251"/>
      <c r="K489" s="249"/>
      <c r="L489" s="250"/>
      <c r="M489" s="250"/>
      <c r="N489" s="250"/>
      <c r="O489" s="249"/>
      <c r="P489" s="249"/>
      <c r="Q489" s="250"/>
      <c r="R489" s="252"/>
      <c r="S489" s="15"/>
      <c r="T489" s="15"/>
      <c r="U489" s="15"/>
      <c r="V489" s="15"/>
    </row>
    <row r="490" spans="1:22">
      <c r="A490" s="253"/>
      <c r="B490" s="254"/>
      <c r="C490" s="255"/>
      <c r="D490" s="256"/>
      <c r="E490" s="256"/>
      <c r="F490" s="256"/>
      <c r="G490" s="256"/>
      <c r="H490" s="256"/>
      <c r="I490" s="256"/>
      <c r="J490" s="257"/>
      <c r="K490" s="255"/>
      <c r="L490" s="256"/>
      <c r="M490" s="256"/>
      <c r="N490" s="256"/>
      <c r="O490" s="255"/>
      <c r="P490" s="255"/>
      <c r="Q490" s="256"/>
      <c r="R490" s="258"/>
      <c r="S490" s="15"/>
      <c r="T490" s="15"/>
      <c r="U490" s="15"/>
      <c r="V490" s="15"/>
    </row>
    <row r="491" spans="1:22">
      <c r="A491" s="253"/>
      <c r="B491" s="317"/>
      <c r="C491" s="318"/>
      <c r="D491" s="319"/>
      <c r="E491" s="319"/>
      <c r="F491" s="319"/>
      <c r="G491" s="319"/>
      <c r="H491" s="319"/>
      <c r="I491" s="319"/>
      <c r="J491" s="320"/>
      <c r="K491" s="318"/>
      <c r="L491" s="319"/>
      <c r="M491" s="319"/>
      <c r="N491" s="319"/>
      <c r="O491" s="318"/>
      <c r="P491" s="321"/>
      <c r="Q491" s="319"/>
      <c r="R491" s="322"/>
      <c r="S491" s="15"/>
      <c r="T491" s="15"/>
      <c r="U491" s="15"/>
      <c r="V491" s="15"/>
    </row>
    <row r="492" spans="1:22">
      <c r="A492" s="253"/>
      <c r="B492" s="234"/>
      <c r="C492" s="249"/>
      <c r="D492" s="250"/>
      <c r="E492" s="250"/>
      <c r="F492" s="250"/>
      <c r="G492" s="250"/>
      <c r="H492" s="250"/>
      <c r="I492" s="250"/>
      <c r="J492" s="251"/>
      <c r="K492" s="249"/>
      <c r="L492" s="250"/>
      <c r="M492" s="250"/>
      <c r="N492" s="250"/>
      <c r="O492" s="249"/>
      <c r="P492" s="249"/>
      <c r="Q492" s="250"/>
      <c r="R492" s="252"/>
      <c r="S492" s="15"/>
      <c r="T492" s="15"/>
      <c r="U492" s="15"/>
      <c r="V492" s="15"/>
    </row>
    <row r="493" spans="1:22">
      <c r="A493" s="253"/>
      <c r="B493" s="254"/>
      <c r="C493" s="255"/>
      <c r="D493" s="256"/>
      <c r="E493" s="256"/>
      <c r="F493" s="256"/>
      <c r="G493" s="256"/>
      <c r="H493" s="256"/>
      <c r="I493" s="256"/>
      <c r="J493" s="257"/>
      <c r="K493" s="255"/>
      <c r="L493" s="256"/>
      <c r="M493" s="256"/>
      <c r="N493" s="256"/>
      <c r="O493" s="255"/>
      <c r="P493" s="255"/>
      <c r="Q493" s="256"/>
      <c r="R493" s="258"/>
      <c r="S493" s="15"/>
      <c r="T493" s="15"/>
      <c r="U493" s="15"/>
      <c r="V493" s="15"/>
    </row>
    <row r="494" spans="1:22">
      <c r="A494" s="253"/>
      <c r="B494" s="317"/>
      <c r="C494" s="318"/>
      <c r="D494" s="319"/>
      <c r="E494" s="319"/>
      <c r="F494" s="319"/>
      <c r="G494" s="331"/>
      <c r="H494" s="319"/>
      <c r="I494" s="319"/>
      <c r="J494" s="320"/>
      <c r="K494" s="318"/>
      <c r="L494" s="319"/>
      <c r="M494" s="319"/>
      <c r="N494" s="319"/>
      <c r="O494" s="318"/>
      <c r="P494" s="321"/>
      <c r="Q494" s="319"/>
      <c r="R494" s="322"/>
      <c r="S494" s="15"/>
      <c r="T494" s="15"/>
      <c r="U494" s="15"/>
      <c r="V494" s="15"/>
    </row>
    <row r="495" spans="1:22">
      <c r="A495" s="253"/>
      <c r="B495" s="234"/>
      <c r="C495" s="249"/>
      <c r="D495" s="250"/>
      <c r="E495" s="250"/>
      <c r="F495" s="250"/>
      <c r="G495" s="250"/>
      <c r="H495" s="250"/>
      <c r="I495" s="250"/>
      <c r="J495" s="251"/>
      <c r="K495" s="249"/>
      <c r="L495" s="250"/>
      <c r="M495" s="250"/>
      <c r="N495" s="250"/>
      <c r="O495" s="249"/>
      <c r="P495" s="249"/>
      <c r="Q495" s="250"/>
      <c r="R495" s="252"/>
      <c r="S495" s="15"/>
      <c r="T495" s="15"/>
      <c r="U495" s="15"/>
      <c r="V495" s="15"/>
    </row>
    <row r="496" spans="1:22">
      <c r="A496" s="253"/>
      <c r="B496" s="254"/>
      <c r="C496" s="255"/>
      <c r="D496" s="256"/>
      <c r="E496" s="256"/>
      <c r="F496" s="256"/>
      <c r="G496" s="256"/>
      <c r="H496" s="256"/>
      <c r="I496" s="256"/>
      <c r="J496" s="257"/>
      <c r="K496" s="255"/>
      <c r="L496" s="256"/>
      <c r="M496" s="256"/>
      <c r="N496" s="256"/>
      <c r="O496" s="255"/>
      <c r="P496" s="255"/>
      <c r="Q496" s="256"/>
      <c r="R496" s="258"/>
      <c r="S496" s="15"/>
      <c r="T496" s="15"/>
      <c r="U496" s="15"/>
      <c r="V496" s="15"/>
    </row>
    <row r="497" spans="1:22">
      <c r="A497" s="253"/>
      <c r="B497" s="317"/>
      <c r="C497" s="318"/>
      <c r="D497" s="319"/>
      <c r="E497" s="319"/>
      <c r="F497" s="331"/>
      <c r="G497" s="319"/>
      <c r="H497" s="319"/>
      <c r="I497" s="319"/>
      <c r="J497" s="320"/>
      <c r="K497" s="318"/>
      <c r="L497" s="319"/>
      <c r="M497" s="319"/>
      <c r="N497" s="319"/>
      <c r="O497" s="318"/>
      <c r="P497" s="321"/>
      <c r="Q497" s="319"/>
      <c r="R497" s="322"/>
      <c r="S497" s="15"/>
      <c r="T497" s="15"/>
      <c r="U497" s="15"/>
      <c r="V497" s="15"/>
    </row>
    <row r="498" spans="1:22">
      <c r="A498" s="253"/>
      <c r="B498" s="234"/>
      <c r="C498" s="249"/>
      <c r="D498" s="250"/>
      <c r="E498" s="250"/>
      <c r="F498" s="250"/>
      <c r="G498" s="250"/>
      <c r="H498" s="250"/>
      <c r="I498" s="250"/>
      <c r="J498" s="251"/>
      <c r="K498" s="249"/>
      <c r="L498" s="250"/>
      <c r="M498" s="250"/>
      <c r="N498" s="250"/>
      <c r="O498" s="249"/>
      <c r="P498" s="249"/>
      <c r="Q498" s="250"/>
      <c r="R498" s="252"/>
      <c r="S498" s="15"/>
      <c r="T498" s="15"/>
      <c r="U498" s="15"/>
      <c r="V498" s="15"/>
    </row>
    <row r="499" spans="1:22">
      <c r="A499" s="253"/>
      <c r="B499" s="254"/>
      <c r="C499" s="255"/>
      <c r="D499" s="256"/>
      <c r="E499" s="256"/>
      <c r="F499" s="256"/>
      <c r="G499" s="256"/>
      <c r="H499" s="256"/>
      <c r="I499" s="256"/>
      <c r="J499" s="257"/>
      <c r="K499" s="255"/>
      <c r="L499" s="256"/>
      <c r="M499" s="256"/>
      <c r="N499" s="256"/>
      <c r="O499" s="255"/>
      <c r="P499" s="255"/>
      <c r="Q499" s="256"/>
      <c r="R499" s="258"/>
      <c r="S499" s="15"/>
      <c r="T499" s="15"/>
      <c r="U499" s="15"/>
      <c r="V499" s="15"/>
    </row>
    <row r="500" spans="1:22">
      <c r="A500" s="253"/>
      <c r="B500" s="317"/>
      <c r="C500" s="318"/>
      <c r="D500" s="319"/>
      <c r="E500" s="331"/>
      <c r="F500" s="319"/>
      <c r="G500" s="331"/>
      <c r="H500" s="319"/>
      <c r="I500" s="319"/>
      <c r="J500" s="320"/>
      <c r="K500" s="318"/>
      <c r="L500" s="319"/>
      <c r="M500" s="319"/>
      <c r="N500" s="319"/>
      <c r="O500" s="318"/>
      <c r="P500" s="321"/>
      <c r="Q500" s="319"/>
      <c r="R500" s="322"/>
      <c r="S500" s="15"/>
      <c r="T500" s="15"/>
      <c r="U500" s="15"/>
      <c r="V500" s="15"/>
    </row>
    <row r="501" spans="1:22">
      <c r="A501" s="253"/>
      <c r="B501" s="234"/>
      <c r="C501" s="249"/>
      <c r="D501" s="250"/>
      <c r="E501" s="250"/>
      <c r="F501" s="250"/>
      <c r="G501" s="250"/>
      <c r="H501" s="250"/>
      <c r="I501" s="250"/>
      <c r="J501" s="251"/>
      <c r="K501" s="249"/>
      <c r="L501" s="250"/>
      <c r="M501" s="250"/>
      <c r="N501" s="250"/>
      <c r="O501" s="249"/>
      <c r="P501" s="249"/>
      <c r="Q501" s="250"/>
      <c r="R501" s="252"/>
      <c r="S501" s="15"/>
      <c r="T501" s="15"/>
      <c r="U501" s="15"/>
      <c r="V501" s="15"/>
    </row>
    <row r="502" spans="1:22">
      <c r="A502" s="253"/>
      <c r="B502" s="254"/>
      <c r="C502" s="255"/>
      <c r="D502" s="256"/>
      <c r="E502" s="256"/>
      <c r="F502" s="256"/>
      <c r="G502" s="256"/>
      <c r="H502" s="256"/>
      <c r="I502" s="256"/>
      <c r="J502" s="257"/>
      <c r="K502" s="255"/>
      <c r="L502" s="256"/>
      <c r="M502" s="256"/>
      <c r="N502" s="256"/>
      <c r="O502" s="255"/>
      <c r="P502" s="255"/>
      <c r="Q502" s="256"/>
      <c r="R502" s="258"/>
      <c r="S502" s="15"/>
      <c r="T502" s="15"/>
      <c r="U502" s="15"/>
      <c r="V502" s="15"/>
    </row>
    <row r="503" spans="1:22">
      <c r="A503" s="253"/>
      <c r="B503" s="317"/>
      <c r="C503" s="318"/>
      <c r="D503" s="319"/>
      <c r="E503" s="319"/>
      <c r="F503" s="319"/>
      <c r="G503" s="319"/>
      <c r="H503" s="319"/>
      <c r="I503" s="319"/>
      <c r="J503" s="320"/>
      <c r="K503" s="318"/>
      <c r="L503" s="319"/>
      <c r="M503" s="319"/>
      <c r="N503" s="319"/>
      <c r="O503" s="318"/>
      <c r="P503" s="321"/>
      <c r="Q503" s="319"/>
      <c r="R503" s="322"/>
      <c r="S503" s="15"/>
      <c r="T503" s="15"/>
      <c r="U503" s="15"/>
      <c r="V503" s="15"/>
    </row>
    <row r="504" spans="1:22">
      <c r="A504" s="253"/>
      <c r="B504" s="234"/>
      <c r="C504" s="249"/>
      <c r="D504" s="250"/>
      <c r="E504" s="250"/>
      <c r="F504" s="250"/>
      <c r="G504" s="250"/>
      <c r="H504" s="250"/>
      <c r="I504" s="250"/>
      <c r="J504" s="251"/>
      <c r="K504" s="249"/>
      <c r="L504" s="250"/>
      <c r="M504" s="250"/>
      <c r="N504" s="250"/>
      <c r="O504" s="249"/>
      <c r="P504" s="249"/>
      <c r="Q504" s="250"/>
      <c r="R504" s="252"/>
      <c r="S504" s="15"/>
      <c r="T504" s="15"/>
      <c r="U504" s="15"/>
      <c r="V504" s="15"/>
    </row>
    <row r="505" spans="1:22">
      <c r="A505" s="253"/>
      <c r="B505" s="254"/>
      <c r="C505" s="255"/>
      <c r="D505" s="256"/>
      <c r="E505" s="256"/>
      <c r="F505" s="256"/>
      <c r="G505" s="256"/>
      <c r="H505" s="256"/>
      <c r="I505" s="256"/>
      <c r="J505" s="257"/>
      <c r="K505" s="255"/>
      <c r="L505" s="256"/>
      <c r="M505" s="256"/>
      <c r="N505" s="256"/>
      <c r="O505" s="255"/>
      <c r="P505" s="255"/>
      <c r="Q505" s="256"/>
      <c r="R505" s="258"/>
      <c r="S505" s="15"/>
      <c r="T505" s="15"/>
      <c r="U505" s="15"/>
      <c r="V505" s="15"/>
    </row>
    <row r="506" spans="1:22">
      <c r="A506" s="253"/>
      <c r="B506" s="317"/>
      <c r="C506" s="318"/>
      <c r="D506" s="319"/>
      <c r="E506" s="331"/>
      <c r="F506" s="319"/>
      <c r="G506" s="319"/>
      <c r="H506" s="319"/>
      <c r="I506" s="319"/>
      <c r="J506" s="320"/>
      <c r="K506" s="318"/>
      <c r="L506" s="319"/>
      <c r="M506" s="319"/>
      <c r="N506" s="319"/>
      <c r="O506" s="318"/>
      <c r="P506" s="321"/>
      <c r="Q506" s="319"/>
      <c r="R506" s="322"/>
      <c r="S506" s="15"/>
      <c r="T506" s="15"/>
      <c r="U506" s="15"/>
      <c r="V506" s="15"/>
    </row>
    <row r="507" spans="1:22">
      <c r="A507" s="253"/>
      <c r="B507" s="234"/>
      <c r="C507" s="249"/>
      <c r="D507" s="250"/>
      <c r="E507" s="250"/>
      <c r="F507" s="250"/>
      <c r="G507" s="250"/>
      <c r="H507" s="250"/>
      <c r="I507" s="250"/>
      <c r="J507" s="251"/>
      <c r="K507" s="249"/>
      <c r="L507" s="250"/>
      <c r="M507" s="250"/>
      <c r="N507" s="250"/>
      <c r="O507" s="249"/>
      <c r="P507" s="249"/>
      <c r="Q507" s="250"/>
      <c r="R507" s="252"/>
      <c r="S507" s="15"/>
      <c r="T507" s="15"/>
      <c r="U507" s="15"/>
      <c r="V507" s="15"/>
    </row>
    <row r="508" spans="1:22">
      <c r="A508" s="253"/>
      <c r="B508" s="254"/>
      <c r="C508" s="255"/>
      <c r="D508" s="256"/>
      <c r="E508" s="256"/>
      <c r="F508" s="256"/>
      <c r="G508" s="256"/>
      <c r="H508" s="256"/>
      <c r="I508" s="256"/>
      <c r="J508" s="257"/>
      <c r="K508" s="255"/>
      <c r="L508" s="256"/>
      <c r="M508" s="256"/>
      <c r="N508" s="256"/>
      <c r="O508" s="255"/>
      <c r="P508" s="255"/>
      <c r="Q508" s="256"/>
      <c r="R508" s="258"/>
      <c r="S508" s="15"/>
      <c r="T508" s="15"/>
      <c r="U508" s="15"/>
      <c r="V508" s="15"/>
    </row>
    <row r="509" spans="1:22">
      <c r="A509" s="260"/>
      <c r="B509" s="317"/>
      <c r="C509" s="318"/>
      <c r="D509" s="319"/>
      <c r="E509" s="319"/>
      <c r="F509" s="319"/>
      <c r="G509" s="319"/>
      <c r="H509" s="319"/>
      <c r="I509" s="319"/>
      <c r="J509" s="320"/>
      <c r="K509" s="318"/>
      <c r="L509" s="319"/>
      <c r="M509" s="319"/>
      <c r="N509" s="319"/>
      <c r="O509" s="318"/>
      <c r="P509" s="321"/>
      <c r="Q509" s="319"/>
      <c r="R509" s="322"/>
      <c r="S509" s="15"/>
      <c r="T509" s="15"/>
      <c r="U509" s="15"/>
      <c r="V509" s="15"/>
    </row>
    <row r="510" spans="1:22">
      <c r="A510" s="248"/>
      <c r="B510" s="234"/>
      <c r="C510" s="249"/>
      <c r="D510" s="250"/>
      <c r="E510" s="250"/>
      <c r="F510" s="250"/>
      <c r="G510" s="250"/>
      <c r="H510" s="250"/>
      <c r="I510" s="250"/>
      <c r="J510" s="251"/>
      <c r="K510" s="249"/>
      <c r="L510" s="250"/>
      <c r="M510" s="250"/>
      <c r="N510" s="250"/>
      <c r="O510" s="249"/>
      <c r="P510" s="249"/>
      <c r="Q510" s="250"/>
      <c r="R510" s="252"/>
      <c r="S510" s="15"/>
      <c r="T510" s="15"/>
      <c r="U510" s="15"/>
      <c r="V510" s="15"/>
    </row>
    <row r="511" spans="1:22">
      <c r="A511" s="253"/>
      <c r="B511" s="254"/>
      <c r="C511" s="255"/>
      <c r="D511" s="256"/>
      <c r="E511" s="256"/>
      <c r="F511" s="256"/>
      <c r="G511" s="256"/>
      <c r="H511" s="256"/>
      <c r="I511" s="256"/>
      <c r="J511" s="257"/>
      <c r="K511" s="255"/>
      <c r="L511" s="256"/>
      <c r="M511" s="256"/>
      <c r="N511" s="256"/>
      <c r="O511" s="255"/>
      <c r="P511" s="255"/>
      <c r="Q511" s="256"/>
      <c r="R511" s="258"/>
      <c r="S511" s="15"/>
      <c r="T511" s="15"/>
      <c r="U511" s="15"/>
      <c r="V511" s="15"/>
    </row>
    <row r="512" spans="1:22">
      <c r="A512" s="253"/>
      <c r="B512" s="317"/>
      <c r="C512" s="318"/>
      <c r="D512" s="319"/>
      <c r="E512" s="319"/>
      <c r="F512" s="319"/>
      <c r="G512" s="319"/>
      <c r="H512" s="319"/>
      <c r="I512" s="319"/>
      <c r="J512" s="320"/>
      <c r="K512" s="318"/>
      <c r="L512" s="319"/>
      <c r="M512" s="319"/>
      <c r="N512" s="331"/>
      <c r="O512" s="318"/>
      <c r="P512" s="321"/>
      <c r="Q512" s="319"/>
      <c r="R512" s="322"/>
      <c r="S512" s="15"/>
      <c r="T512" s="15"/>
      <c r="U512" s="15"/>
      <c r="V512" s="15"/>
    </row>
    <row r="513" spans="1:22">
      <c r="A513" s="253"/>
      <c r="B513" s="234"/>
      <c r="C513" s="249"/>
      <c r="D513" s="250"/>
      <c r="E513" s="250"/>
      <c r="F513" s="250"/>
      <c r="G513" s="250"/>
      <c r="H513" s="250"/>
      <c r="I513" s="250"/>
      <c r="J513" s="251"/>
      <c r="K513" s="249"/>
      <c r="L513" s="250"/>
      <c r="M513" s="250"/>
      <c r="N513" s="250"/>
      <c r="O513" s="249"/>
      <c r="P513" s="249"/>
      <c r="Q513" s="250"/>
      <c r="R513" s="252"/>
      <c r="S513" s="15"/>
      <c r="T513" s="15"/>
      <c r="U513" s="15"/>
      <c r="V513" s="15"/>
    </row>
    <row r="514" spans="1:22">
      <c r="A514" s="253"/>
      <c r="B514" s="254"/>
      <c r="C514" s="255"/>
      <c r="D514" s="256"/>
      <c r="E514" s="256"/>
      <c r="F514" s="256"/>
      <c r="G514" s="256"/>
      <c r="H514" s="256"/>
      <c r="I514" s="256"/>
      <c r="J514" s="257"/>
      <c r="K514" s="255"/>
      <c r="L514" s="256"/>
      <c r="M514" s="256"/>
      <c r="N514" s="256"/>
      <c r="O514" s="255"/>
      <c r="P514" s="255"/>
      <c r="Q514" s="256"/>
      <c r="R514" s="258"/>
      <c r="S514" s="15"/>
      <c r="T514" s="15"/>
      <c r="U514" s="15"/>
      <c r="V514" s="15"/>
    </row>
    <row r="515" spans="1:22">
      <c r="A515" s="253"/>
      <c r="B515" s="317"/>
      <c r="C515" s="318"/>
      <c r="D515" s="319"/>
      <c r="E515" s="319"/>
      <c r="F515" s="319"/>
      <c r="G515" s="319"/>
      <c r="H515" s="319"/>
      <c r="I515" s="319"/>
      <c r="J515" s="320"/>
      <c r="K515" s="318"/>
      <c r="L515" s="319"/>
      <c r="M515" s="319"/>
      <c r="N515" s="319"/>
      <c r="O515" s="318"/>
      <c r="P515" s="321"/>
      <c r="Q515" s="319"/>
      <c r="R515" s="322"/>
      <c r="S515" s="15"/>
      <c r="T515" s="15"/>
      <c r="U515" s="15"/>
      <c r="V515" s="15"/>
    </row>
    <row r="516" spans="1:22">
      <c r="A516" s="253"/>
      <c r="B516" s="234"/>
      <c r="C516" s="249"/>
      <c r="D516" s="250"/>
      <c r="E516" s="250"/>
      <c r="F516" s="250"/>
      <c r="G516" s="250"/>
      <c r="H516" s="250"/>
      <c r="I516" s="250"/>
      <c r="J516" s="251"/>
      <c r="K516" s="249"/>
      <c r="L516" s="250"/>
      <c r="M516" s="250"/>
      <c r="N516" s="250"/>
      <c r="O516" s="249"/>
      <c r="P516" s="249"/>
      <c r="Q516" s="250"/>
      <c r="R516" s="252"/>
      <c r="S516" s="15"/>
      <c r="T516" s="15"/>
      <c r="U516" s="15"/>
      <c r="V516" s="15"/>
    </row>
    <row r="517" spans="1:22">
      <c r="A517" s="253"/>
      <c r="B517" s="254"/>
      <c r="C517" s="255"/>
      <c r="D517" s="256"/>
      <c r="E517" s="256"/>
      <c r="F517" s="256"/>
      <c r="G517" s="256"/>
      <c r="H517" s="256"/>
      <c r="I517" s="256"/>
      <c r="J517" s="257"/>
      <c r="K517" s="255"/>
      <c r="L517" s="256"/>
      <c r="M517" s="256"/>
      <c r="N517" s="256"/>
      <c r="O517" s="255"/>
      <c r="P517" s="255"/>
      <c r="Q517" s="256"/>
      <c r="R517" s="258"/>
      <c r="S517" s="15"/>
      <c r="T517" s="15"/>
      <c r="U517" s="15"/>
      <c r="V517" s="15"/>
    </row>
    <row r="518" spans="1:22">
      <c r="A518" s="253"/>
      <c r="B518" s="317"/>
      <c r="C518" s="318"/>
      <c r="D518" s="319"/>
      <c r="E518" s="319"/>
      <c r="F518" s="319"/>
      <c r="G518" s="319"/>
      <c r="H518" s="319"/>
      <c r="I518" s="319"/>
      <c r="J518" s="320"/>
      <c r="K518" s="318"/>
      <c r="L518" s="319"/>
      <c r="M518" s="319"/>
      <c r="N518" s="331"/>
      <c r="O518" s="318"/>
      <c r="P518" s="321"/>
      <c r="Q518" s="319"/>
      <c r="R518" s="322"/>
      <c r="S518" s="15"/>
      <c r="T518" s="15"/>
      <c r="U518" s="15"/>
      <c r="V518" s="15"/>
    </row>
    <row r="519" spans="1:22">
      <c r="A519" s="253"/>
      <c r="B519" s="234"/>
      <c r="C519" s="249"/>
      <c r="D519" s="250"/>
      <c r="E519" s="250"/>
      <c r="F519" s="250"/>
      <c r="G519" s="250"/>
      <c r="H519" s="250"/>
      <c r="I519" s="250"/>
      <c r="J519" s="251"/>
      <c r="K519" s="249"/>
      <c r="L519" s="250"/>
      <c r="M519" s="250"/>
      <c r="N519" s="250"/>
      <c r="O519" s="249"/>
      <c r="P519" s="249"/>
      <c r="Q519" s="250"/>
      <c r="R519" s="252"/>
      <c r="S519" s="15"/>
      <c r="T519" s="15"/>
      <c r="U519" s="15"/>
      <c r="V519" s="15"/>
    </row>
    <row r="520" spans="1:22">
      <c r="A520" s="253"/>
      <c r="B520" s="254"/>
      <c r="C520" s="255"/>
      <c r="D520" s="256"/>
      <c r="E520" s="256"/>
      <c r="F520" s="256"/>
      <c r="G520" s="256"/>
      <c r="H520" s="256"/>
      <c r="I520" s="256"/>
      <c r="J520" s="257"/>
      <c r="K520" s="255"/>
      <c r="L520" s="256"/>
      <c r="M520" s="256"/>
      <c r="N520" s="256"/>
      <c r="O520" s="255"/>
      <c r="P520" s="255"/>
      <c r="Q520" s="256"/>
      <c r="R520" s="258"/>
      <c r="S520" s="15"/>
      <c r="T520" s="15"/>
      <c r="U520" s="15"/>
      <c r="V520" s="15"/>
    </row>
    <row r="521" spans="1:22">
      <c r="A521" s="253"/>
      <c r="B521" s="317"/>
      <c r="C521" s="318"/>
      <c r="D521" s="319"/>
      <c r="E521" s="319"/>
      <c r="F521" s="319"/>
      <c r="G521" s="319"/>
      <c r="H521" s="319"/>
      <c r="I521" s="319"/>
      <c r="J521" s="320"/>
      <c r="K521" s="318"/>
      <c r="L521" s="319"/>
      <c r="M521" s="319"/>
      <c r="N521" s="319"/>
      <c r="O521" s="318"/>
      <c r="P521" s="321"/>
      <c r="Q521" s="319"/>
      <c r="R521" s="322"/>
      <c r="S521" s="15"/>
      <c r="T521" s="15"/>
      <c r="U521" s="15"/>
      <c r="V521" s="15"/>
    </row>
    <row r="522" spans="1:22">
      <c r="A522" s="253"/>
      <c r="B522" s="234"/>
      <c r="C522" s="249"/>
      <c r="D522" s="250"/>
      <c r="E522" s="250"/>
      <c r="F522" s="250"/>
      <c r="G522" s="250"/>
      <c r="H522" s="250"/>
      <c r="I522" s="250"/>
      <c r="J522" s="251"/>
      <c r="K522" s="249"/>
      <c r="L522" s="250"/>
      <c r="M522" s="250"/>
      <c r="N522" s="250"/>
      <c r="O522" s="249"/>
      <c r="P522" s="249"/>
      <c r="Q522" s="250"/>
      <c r="R522" s="252"/>
      <c r="S522" s="15"/>
      <c r="T522" s="15"/>
      <c r="U522" s="15"/>
      <c r="V522" s="15"/>
    </row>
    <row r="523" spans="1:22">
      <c r="A523" s="253"/>
      <c r="B523" s="254"/>
      <c r="C523" s="255"/>
      <c r="D523" s="256"/>
      <c r="E523" s="256"/>
      <c r="F523" s="256"/>
      <c r="G523" s="256"/>
      <c r="H523" s="256"/>
      <c r="I523" s="256"/>
      <c r="J523" s="257"/>
      <c r="K523" s="255"/>
      <c r="L523" s="256"/>
      <c r="M523" s="256"/>
      <c r="N523" s="256"/>
      <c r="O523" s="255"/>
      <c r="P523" s="255"/>
      <c r="Q523" s="256"/>
      <c r="R523" s="258"/>
      <c r="S523" s="15"/>
      <c r="T523" s="15"/>
      <c r="U523" s="15"/>
      <c r="V523" s="15"/>
    </row>
    <row r="524" spans="1:22">
      <c r="A524" s="253"/>
      <c r="B524" s="317"/>
      <c r="C524" s="318"/>
      <c r="D524" s="319"/>
      <c r="E524" s="319"/>
      <c r="F524" s="319"/>
      <c r="G524" s="319"/>
      <c r="H524" s="319"/>
      <c r="I524" s="319"/>
      <c r="J524" s="320"/>
      <c r="K524" s="318"/>
      <c r="L524" s="319"/>
      <c r="M524" s="319"/>
      <c r="N524" s="319"/>
      <c r="O524" s="318"/>
      <c r="P524" s="321"/>
      <c r="Q524" s="319"/>
      <c r="R524" s="322"/>
      <c r="S524" s="15"/>
      <c r="T524" s="15"/>
      <c r="U524" s="15"/>
      <c r="V524" s="15"/>
    </row>
    <row r="525" spans="1:22">
      <c r="A525" s="253"/>
      <c r="B525" s="234"/>
      <c r="C525" s="249"/>
      <c r="D525" s="250"/>
      <c r="E525" s="250"/>
      <c r="F525" s="250"/>
      <c r="G525" s="250"/>
      <c r="H525" s="250"/>
      <c r="I525" s="250"/>
      <c r="J525" s="251"/>
      <c r="K525" s="249"/>
      <c r="L525" s="250"/>
      <c r="M525" s="250"/>
      <c r="N525" s="250"/>
      <c r="O525" s="249"/>
      <c r="P525" s="249"/>
      <c r="Q525" s="250"/>
      <c r="R525" s="252"/>
      <c r="S525" s="15"/>
      <c r="T525" s="15"/>
      <c r="U525" s="15"/>
      <c r="V525" s="15"/>
    </row>
    <row r="526" spans="1:22">
      <c r="A526" s="253"/>
      <c r="B526" s="254"/>
      <c r="C526" s="255"/>
      <c r="D526" s="256"/>
      <c r="E526" s="256"/>
      <c r="F526" s="256"/>
      <c r="G526" s="256"/>
      <c r="H526" s="256"/>
      <c r="I526" s="256"/>
      <c r="J526" s="257"/>
      <c r="K526" s="255"/>
      <c r="L526" s="256"/>
      <c r="M526" s="256"/>
      <c r="N526" s="256"/>
      <c r="O526" s="255"/>
      <c r="P526" s="255"/>
      <c r="Q526" s="256"/>
      <c r="R526" s="258"/>
      <c r="S526" s="15"/>
      <c r="T526" s="15"/>
      <c r="U526" s="15"/>
      <c r="V526" s="15"/>
    </row>
    <row r="527" spans="1:22">
      <c r="A527" s="253"/>
      <c r="B527" s="317"/>
      <c r="C527" s="318"/>
      <c r="D527" s="319"/>
      <c r="E527" s="319"/>
      <c r="F527" s="319"/>
      <c r="G527" s="319"/>
      <c r="H527" s="319"/>
      <c r="I527" s="319"/>
      <c r="J527" s="320"/>
      <c r="K527" s="318"/>
      <c r="L527" s="319"/>
      <c r="M527" s="319"/>
      <c r="N527" s="319"/>
      <c r="O527" s="318"/>
      <c r="P527" s="321"/>
      <c r="Q527" s="319"/>
      <c r="R527" s="322"/>
      <c r="S527" s="15"/>
      <c r="T527" s="15"/>
      <c r="U527" s="15"/>
      <c r="V527" s="15"/>
    </row>
    <row r="528" spans="1:22">
      <c r="A528" s="253"/>
      <c r="B528" s="234"/>
      <c r="C528" s="249"/>
      <c r="D528" s="250"/>
      <c r="E528" s="250"/>
      <c r="F528" s="250"/>
      <c r="G528" s="250"/>
      <c r="H528" s="250"/>
      <c r="I528" s="250"/>
      <c r="J528" s="251"/>
      <c r="K528" s="249"/>
      <c r="L528" s="250"/>
      <c r="M528" s="250"/>
      <c r="N528" s="250"/>
      <c r="O528" s="249"/>
      <c r="P528" s="249"/>
      <c r="Q528" s="250"/>
      <c r="R528" s="252"/>
      <c r="S528" s="15"/>
      <c r="T528" s="15"/>
      <c r="U528" s="15"/>
      <c r="V528" s="15"/>
    </row>
    <row r="529" spans="1:22">
      <c r="A529" s="253"/>
      <c r="B529" s="254"/>
      <c r="C529" s="255"/>
      <c r="D529" s="256"/>
      <c r="E529" s="256"/>
      <c r="F529" s="256"/>
      <c r="G529" s="256"/>
      <c r="H529" s="256"/>
      <c r="I529" s="256"/>
      <c r="J529" s="257"/>
      <c r="K529" s="255"/>
      <c r="L529" s="256"/>
      <c r="M529" s="256"/>
      <c r="N529" s="256"/>
      <c r="O529" s="255"/>
      <c r="P529" s="255"/>
      <c r="Q529" s="256"/>
      <c r="R529" s="258"/>
      <c r="S529" s="15"/>
      <c r="T529" s="15"/>
      <c r="U529" s="15"/>
      <c r="V529" s="15"/>
    </row>
    <row r="530" spans="1:22">
      <c r="A530" s="253"/>
      <c r="B530" s="317"/>
      <c r="C530" s="318"/>
      <c r="D530" s="319"/>
      <c r="E530" s="319"/>
      <c r="F530" s="331"/>
      <c r="G530" s="331"/>
      <c r="H530" s="319"/>
      <c r="I530" s="319"/>
      <c r="J530" s="320"/>
      <c r="K530" s="318"/>
      <c r="L530" s="319"/>
      <c r="M530" s="319"/>
      <c r="N530" s="319"/>
      <c r="O530" s="318"/>
      <c r="P530" s="321"/>
      <c r="Q530" s="319"/>
      <c r="R530" s="322"/>
      <c r="S530" s="15"/>
      <c r="T530" s="15"/>
      <c r="U530" s="15"/>
      <c r="V530" s="15"/>
    </row>
    <row r="531" spans="1:22">
      <c r="A531" s="253"/>
      <c r="B531" s="234"/>
      <c r="C531" s="249"/>
      <c r="D531" s="250"/>
      <c r="E531" s="250"/>
      <c r="F531" s="250"/>
      <c r="G531" s="250"/>
      <c r="H531" s="250"/>
      <c r="I531" s="250"/>
      <c r="J531" s="251"/>
      <c r="K531" s="249"/>
      <c r="L531" s="250"/>
      <c r="M531" s="250"/>
      <c r="N531" s="250"/>
      <c r="O531" s="249"/>
      <c r="P531" s="249"/>
      <c r="Q531" s="250"/>
      <c r="R531" s="252"/>
      <c r="S531" s="15"/>
      <c r="T531" s="15"/>
      <c r="U531" s="15"/>
      <c r="V531" s="15"/>
    </row>
    <row r="532" spans="1:22">
      <c r="A532" s="253"/>
      <c r="B532" s="254"/>
      <c r="C532" s="255"/>
      <c r="D532" s="256"/>
      <c r="E532" s="256"/>
      <c r="F532" s="256"/>
      <c r="G532" s="256"/>
      <c r="H532" s="256"/>
      <c r="I532" s="256"/>
      <c r="J532" s="257"/>
      <c r="K532" s="255"/>
      <c r="L532" s="256"/>
      <c r="M532" s="256"/>
      <c r="N532" s="256"/>
      <c r="O532" s="255"/>
      <c r="P532" s="255"/>
      <c r="Q532" s="256"/>
      <c r="R532" s="258"/>
      <c r="S532" s="15"/>
      <c r="T532" s="15"/>
      <c r="U532" s="15"/>
      <c r="V532" s="15"/>
    </row>
    <row r="533" spans="1:22">
      <c r="A533" s="253"/>
      <c r="B533" s="317"/>
      <c r="C533" s="318"/>
      <c r="D533" s="319"/>
      <c r="E533" s="319"/>
      <c r="F533" s="331"/>
      <c r="G533" s="331"/>
      <c r="H533" s="319"/>
      <c r="I533" s="319"/>
      <c r="J533" s="320"/>
      <c r="K533" s="318"/>
      <c r="L533" s="319"/>
      <c r="M533" s="319"/>
      <c r="N533" s="319"/>
      <c r="O533" s="318"/>
      <c r="P533" s="321"/>
      <c r="Q533" s="319"/>
      <c r="R533" s="322"/>
      <c r="S533" s="15"/>
      <c r="T533" s="15"/>
      <c r="U533" s="15"/>
      <c r="V533" s="15"/>
    </row>
    <row r="534" spans="1:22">
      <c r="A534" s="253"/>
      <c r="B534" s="234"/>
      <c r="C534" s="249"/>
      <c r="D534" s="250"/>
      <c r="E534" s="250"/>
      <c r="F534" s="250"/>
      <c r="G534" s="250"/>
      <c r="H534" s="250"/>
      <c r="I534" s="250"/>
      <c r="J534" s="251"/>
      <c r="K534" s="249"/>
      <c r="L534" s="250"/>
      <c r="M534" s="250"/>
      <c r="N534" s="250"/>
      <c r="O534" s="249"/>
      <c r="P534" s="249"/>
      <c r="Q534" s="250"/>
      <c r="R534" s="252"/>
      <c r="S534" s="15"/>
      <c r="T534" s="15"/>
      <c r="U534" s="15"/>
      <c r="V534" s="15"/>
    </row>
    <row r="535" spans="1:22">
      <c r="A535" s="253"/>
      <c r="B535" s="254"/>
      <c r="C535" s="255"/>
      <c r="D535" s="256"/>
      <c r="E535" s="256"/>
      <c r="F535" s="256"/>
      <c r="G535" s="256"/>
      <c r="H535" s="256"/>
      <c r="I535" s="256"/>
      <c r="J535" s="257"/>
      <c r="K535" s="255"/>
      <c r="L535" s="256"/>
      <c r="M535" s="256"/>
      <c r="N535" s="256"/>
      <c r="O535" s="255"/>
      <c r="P535" s="255"/>
      <c r="Q535" s="256"/>
      <c r="R535" s="258"/>
      <c r="S535" s="15"/>
      <c r="T535" s="15"/>
      <c r="U535" s="15"/>
      <c r="V535" s="15"/>
    </row>
    <row r="536" spans="1:22">
      <c r="A536" s="253"/>
      <c r="B536" s="317"/>
      <c r="C536" s="318"/>
      <c r="D536" s="319"/>
      <c r="E536" s="319"/>
      <c r="F536" s="319"/>
      <c r="G536" s="331"/>
      <c r="H536" s="319"/>
      <c r="I536" s="319"/>
      <c r="J536" s="320"/>
      <c r="K536" s="318"/>
      <c r="L536" s="319"/>
      <c r="M536" s="319"/>
      <c r="N536" s="319"/>
      <c r="O536" s="318"/>
      <c r="P536" s="321"/>
      <c r="Q536" s="319"/>
      <c r="R536" s="322"/>
      <c r="S536" s="15"/>
      <c r="T536" s="15"/>
      <c r="U536" s="15"/>
      <c r="V536" s="15"/>
    </row>
    <row r="537" spans="1:22">
      <c r="A537" s="253"/>
      <c r="B537" s="234"/>
      <c r="C537" s="249"/>
      <c r="D537" s="250"/>
      <c r="E537" s="250"/>
      <c r="F537" s="250"/>
      <c r="G537" s="250"/>
      <c r="H537" s="250"/>
      <c r="I537" s="250"/>
      <c r="J537" s="251"/>
      <c r="K537" s="249"/>
      <c r="L537" s="250"/>
      <c r="M537" s="250"/>
      <c r="N537" s="250"/>
      <c r="O537" s="249"/>
      <c r="P537" s="249"/>
      <c r="Q537" s="250"/>
      <c r="R537" s="252"/>
      <c r="S537" s="15"/>
      <c r="T537" s="15"/>
      <c r="U537" s="15"/>
      <c r="V537" s="15"/>
    </row>
    <row r="538" spans="1:22">
      <c r="A538" s="253"/>
      <c r="B538" s="254"/>
      <c r="C538" s="255"/>
      <c r="D538" s="256"/>
      <c r="E538" s="256"/>
      <c r="F538" s="256"/>
      <c r="G538" s="256"/>
      <c r="H538" s="256"/>
      <c r="I538" s="256"/>
      <c r="J538" s="257"/>
      <c r="K538" s="255"/>
      <c r="L538" s="256"/>
      <c r="M538" s="256"/>
      <c r="N538" s="256"/>
      <c r="O538" s="255"/>
      <c r="P538" s="255"/>
      <c r="Q538" s="256"/>
      <c r="R538" s="258"/>
      <c r="S538" s="15"/>
      <c r="T538" s="15"/>
      <c r="U538" s="15"/>
      <c r="V538" s="15"/>
    </row>
    <row r="539" spans="1:22">
      <c r="A539" s="253"/>
      <c r="B539" s="317"/>
      <c r="C539" s="318"/>
      <c r="D539" s="319"/>
      <c r="E539" s="319"/>
      <c r="F539" s="319"/>
      <c r="G539" s="319"/>
      <c r="H539" s="319"/>
      <c r="I539" s="319"/>
      <c r="J539" s="320"/>
      <c r="K539" s="318"/>
      <c r="L539" s="319"/>
      <c r="M539" s="319"/>
      <c r="N539" s="319"/>
      <c r="O539" s="318"/>
      <c r="P539" s="321"/>
      <c r="Q539" s="319"/>
      <c r="R539" s="322"/>
      <c r="S539" s="15"/>
      <c r="T539" s="15"/>
      <c r="U539" s="15"/>
      <c r="V539" s="15"/>
    </row>
    <row r="540" spans="1:22">
      <c r="A540" s="253"/>
      <c r="B540" s="234"/>
      <c r="C540" s="249"/>
      <c r="D540" s="250"/>
      <c r="E540" s="250"/>
      <c r="F540" s="250"/>
      <c r="G540" s="250"/>
      <c r="H540" s="250"/>
      <c r="I540" s="250"/>
      <c r="J540" s="251"/>
      <c r="K540" s="249"/>
      <c r="L540" s="250"/>
      <c r="M540" s="250"/>
      <c r="N540" s="250"/>
      <c r="O540" s="249"/>
      <c r="P540" s="249"/>
      <c r="Q540" s="250"/>
      <c r="R540" s="252"/>
      <c r="S540" s="15"/>
      <c r="T540" s="15"/>
      <c r="U540" s="15"/>
      <c r="V540" s="15"/>
    </row>
    <row r="541" spans="1:22">
      <c r="A541" s="253"/>
      <c r="B541" s="254"/>
      <c r="C541" s="255"/>
      <c r="D541" s="256"/>
      <c r="E541" s="256"/>
      <c r="F541" s="256"/>
      <c r="G541" s="256"/>
      <c r="H541" s="256"/>
      <c r="I541" s="256"/>
      <c r="J541" s="257"/>
      <c r="K541" s="255"/>
      <c r="L541" s="256"/>
      <c r="M541" s="256"/>
      <c r="N541" s="256"/>
      <c r="O541" s="255"/>
      <c r="P541" s="255"/>
      <c r="Q541" s="256"/>
      <c r="R541" s="258"/>
      <c r="S541" s="15"/>
      <c r="T541" s="15"/>
      <c r="U541" s="15"/>
      <c r="V541" s="15"/>
    </row>
    <row r="542" spans="1:22">
      <c r="A542" s="253"/>
      <c r="B542" s="317"/>
      <c r="C542" s="318"/>
      <c r="D542" s="319"/>
      <c r="E542" s="319"/>
      <c r="F542" s="319"/>
      <c r="G542" s="319"/>
      <c r="H542" s="319"/>
      <c r="I542" s="319"/>
      <c r="J542" s="320"/>
      <c r="K542" s="318"/>
      <c r="L542" s="319"/>
      <c r="M542" s="319"/>
      <c r="N542" s="319"/>
      <c r="O542" s="318"/>
      <c r="P542" s="321"/>
      <c r="Q542" s="319"/>
      <c r="R542" s="322"/>
      <c r="S542" s="15"/>
      <c r="T542" s="15"/>
      <c r="U542" s="15"/>
      <c r="V542" s="15"/>
    </row>
    <row r="543" spans="1:22">
      <c r="A543" s="253"/>
      <c r="B543" s="234"/>
      <c r="C543" s="249"/>
      <c r="D543" s="250"/>
      <c r="E543" s="250"/>
      <c r="F543" s="250"/>
      <c r="G543" s="250"/>
      <c r="H543" s="250"/>
      <c r="I543" s="250"/>
      <c r="J543" s="251"/>
      <c r="K543" s="249"/>
      <c r="L543" s="250"/>
      <c r="M543" s="250"/>
      <c r="N543" s="250"/>
      <c r="O543" s="249"/>
      <c r="P543" s="249"/>
      <c r="Q543" s="250"/>
      <c r="R543" s="252"/>
      <c r="S543" s="15"/>
      <c r="T543" s="15"/>
      <c r="U543" s="15"/>
      <c r="V543" s="15"/>
    </row>
    <row r="544" spans="1:22">
      <c r="A544" s="253"/>
      <c r="B544" s="254"/>
      <c r="C544" s="255"/>
      <c r="D544" s="256"/>
      <c r="E544" s="256"/>
      <c r="F544" s="256"/>
      <c r="G544" s="256"/>
      <c r="H544" s="256"/>
      <c r="I544" s="256"/>
      <c r="J544" s="257"/>
      <c r="K544" s="255"/>
      <c r="L544" s="256"/>
      <c r="M544" s="256"/>
      <c r="N544" s="256"/>
      <c r="O544" s="255"/>
      <c r="P544" s="255"/>
      <c r="Q544" s="256"/>
      <c r="R544" s="258"/>
      <c r="S544" s="15"/>
      <c r="T544" s="15"/>
      <c r="U544" s="15"/>
      <c r="V544" s="15"/>
    </row>
    <row r="545" spans="1:22">
      <c r="A545" s="260"/>
      <c r="B545" s="317"/>
      <c r="C545" s="318"/>
      <c r="D545" s="319"/>
      <c r="E545" s="319"/>
      <c r="F545" s="319"/>
      <c r="G545" s="319"/>
      <c r="H545" s="319"/>
      <c r="I545" s="319"/>
      <c r="J545" s="320"/>
      <c r="K545" s="318"/>
      <c r="L545" s="319"/>
      <c r="M545" s="319"/>
      <c r="N545" s="319"/>
      <c r="O545" s="318"/>
      <c r="P545" s="321"/>
      <c r="Q545" s="319"/>
      <c r="R545" s="322"/>
      <c r="S545" s="15"/>
      <c r="T545" s="15"/>
      <c r="U545" s="15"/>
      <c r="V545" s="15"/>
    </row>
    <row r="546" spans="1:22">
      <c r="A546" s="248"/>
      <c r="B546" s="234"/>
      <c r="C546" s="249"/>
      <c r="D546" s="250"/>
      <c r="E546" s="250"/>
      <c r="F546" s="250"/>
      <c r="G546" s="250"/>
      <c r="H546" s="250"/>
      <c r="I546" s="250"/>
      <c r="J546" s="251"/>
      <c r="K546" s="249"/>
      <c r="L546" s="250"/>
      <c r="M546" s="250"/>
      <c r="N546" s="250"/>
      <c r="O546" s="249"/>
      <c r="P546" s="249"/>
      <c r="Q546" s="250"/>
      <c r="R546" s="252"/>
      <c r="S546" s="15"/>
      <c r="T546" s="15"/>
      <c r="U546" s="15"/>
      <c r="V546" s="15"/>
    </row>
    <row r="547" spans="1:22">
      <c r="A547" s="253"/>
      <c r="B547" s="254"/>
      <c r="C547" s="255"/>
      <c r="D547" s="256"/>
      <c r="E547" s="256"/>
      <c r="F547" s="256"/>
      <c r="G547" s="256"/>
      <c r="H547" s="256"/>
      <c r="I547" s="256"/>
      <c r="J547" s="257"/>
      <c r="K547" s="255"/>
      <c r="L547" s="256"/>
      <c r="M547" s="256"/>
      <c r="N547" s="256"/>
      <c r="O547" s="255"/>
      <c r="P547" s="255"/>
      <c r="Q547" s="256"/>
      <c r="R547" s="258"/>
      <c r="S547" s="15"/>
      <c r="T547" s="15"/>
      <c r="U547" s="15"/>
      <c r="V547" s="15"/>
    </row>
    <row r="548" spans="1:22">
      <c r="A548" s="253"/>
      <c r="B548" s="317"/>
      <c r="C548" s="318"/>
      <c r="D548" s="319"/>
      <c r="E548" s="319"/>
      <c r="F548" s="319"/>
      <c r="G548" s="319"/>
      <c r="H548" s="319"/>
      <c r="I548" s="319"/>
      <c r="J548" s="320"/>
      <c r="K548" s="318"/>
      <c r="L548" s="319"/>
      <c r="M548" s="331"/>
      <c r="N548" s="319"/>
      <c r="O548" s="318"/>
      <c r="P548" s="321"/>
      <c r="Q548" s="319"/>
      <c r="R548" s="322"/>
      <c r="S548" s="15"/>
      <c r="T548" s="15"/>
      <c r="U548" s="15"/>
      <c r="V548" s="15"/>
    </row>
    <row r="549" spans="1:22">
      <c r="A549" s="253"/>
      <c r="B549" s="234"/>
      <c r="C549" s="249"/>
      <c r="D549" s="250"/>
      <c r="E549" s="250"/>
      <c r="F549" s="250"/>
      <c r="G549" s="250"/>
      <c r="H549" s="250"/>
      <c r="I549" s="250"/>
      <c r="J549" s="251"/>
      <c r="K549" s="249"/>
      <c r="L549" s="250"/>
      <c r="M549" s="250"/>
      <c r="N549" s="250"/>
      <c r="O549" s="249"/>
      <c r="P549" s="249"/>
      <c r="Q549" s="250"/>
      <c r="R549" s="252"/>
      <c r="S549" s="15"/>
      <c r="T549" s="15"/>
      <c r="U549" s="15"/>
      <c r="V549" s="15"/>
    </row>
    <row r="550" spans="1:22">
      <c r="A550" s="253"/>
      <c r="B550" s="254"/>
      <c r="C550" s="255"/>
      <c r="D550" s="256"/>
      <c r="E550" s="256"/>
      <c r="F550" s="256"/>
      <c r="G550" s="256"/>
      <c r="H550" s="256"/>
      <c r="I550" s="256"/>
      <c r="J550" s="257"/>
      <c r="K550" s="255"/>
      <c r="L550" s="256"/>
      <c r="M550" s="256"/>
      <c r="N550" s="256"/>
      <c r="O550" s="255"/>
      <c r="P550" s="255"/>
      <c r="Q550" s="256"/>
      <c r="R550" s="258"/>
      <c r="S550" s="15"/>
      <c r="T550" s="15"/>
      <c r="U550" s="15"/>
      <c r="V550" s="15"/>
    </row>
    <row r="551" spans="1:22">
      <c r="A551" s="253"/>
      <c r="B551" s="317"/>
      <c r="C551" s="318"/>
      <c r="D551" s="319"/>
      <c r="E551" s="319"/>
      <c r="F551" s="319"/>
      <c r="G551" s="319"/>
      <c r="H551" s="319"/>
      <c r="I551" s="319"/>
      <c r="J551" s="320"/>
      <c r="K551" s="318"/>
      <c r="L551" s="319"/>
      <c r="M551" s="319"/>
      <c r="N551" s="319"/>
      <c r="O551" s="318"/>
      <c r="P551" s="321"/>
      <c r="Q551" s="319"/>
      <c r="R551" s="322"/>
      <c r="S551" s="15"/>
      <c r="T551" s="15"/>
      <c r="U551" s="15"/>
      <c r="V551" s="15"/>
    </row>
    <row r="552" spans="1:22">
      <c r="A552" s="253"/>
      <c r="B552" s="234"/>
      <c r="C552" s="249"/>
      <c r="D552" s="250"/>
      <c r="E552" s="250"/>
      <c r="F552" s="250"/>
      <c r="G552" s="250"/>
      <c r="H552" s="250"/>
      <c r="I552" s="250"/>
      <c r="J552" s="251"/>
      <c r="K552" s="249"/>
      <c r="L552" s="250"/>
      <c r="M552" s="250"/>
      <c r="N552" s="250"/>
      <c r="O552" s="249"/>
      <c r="P552" s="249"/>
      <c r="Q552" s="250"/>
      <c r="R552" s="252"/>
      <c r="S552" s="15"/>
      <c r="T552" s="15"/>
      <c r="U552" s="15"/>
      <c r="V552" s="15"/>
    </row>
    <row r="553" spans="1:22">
      <c r="A553" s="253"/>
      <c r="B553" s="254"/>
      <c r="C553" s="255"/>
      <c r="D553" s="256"/>
      <c r="E553" s="256"/>
      <c r="F553" s="256"/>
      <c r="G553" s="256"/>
      <c r="H553" s="256"/>
      <c r="I553" s="256"/>
      <c r="J553" s="257"/>
      <c r="K553" s="255"/>
      <c r="L553" s="256"/>
      <c r="M553" s="256"/>
      <c r="N553" s="256"/>
      <c r="O553" s="255"/>
      <c r="P553" s="255"/>
      <c r="Q553" s="256"/>
      <c r="R553" s="258"/>
      <c r="S553" s="15"/>
      <c r="T553" s="15"/>
      <c r="U553" s="15"/>
      <c r="V553" s="15"/>
    </row>
    <row r="554" spans="1:22">
      <c r="A554" s="253"/>
      <c r="B554" s="317"/>
      <c r="C554" s="318"/>
      <c r="D554" s="319"/>
      <c r="E554" s="319"/>
      <c r="F554" s="319"/>
      <c r="G554" s="319"/>
      <c r="H554" s="319"/>
      <c r="I554" s="319"/>
      <c r="J554" s="320"/>
      <c r="K554" s="318"/>
      <c r="L554" s="319"/>
      <c r="M554" s="331"/>
      <c r="N554" s="319"/>
      <c r="O554" s="318"/>
      <c r="P554" s="321"/>
      <c r="Q554" s="319"/>
      <c r="R554" s="322"/>
      <c r="S554" s="15"/>
      <c r="T554" s="15"/>
      <c r="U554" s="15"/>
      <c r="V554" s="15"/>
    </row>
    <row r="555" spans="1:22">
      <c r="A555" s="253"/>
      <c r="B555" s="234"/>
      <c r="C555" s="249"/>
      <c r="D555" s="250"/>
      <c r="E555" s="250"/>
      <c r="F555" s="250"/>
      <c r="G555" s="250"/>
      <c r="H555" s="250"/>
      <c r="I555" s="250"/>
      <c r="J555" s="251"/>
      <c r="K555" s="249"/>
      <c r="L555" s="250"/>
      <c r="M555" s="250"/>
      <c r="N555" s="250"/>
      <c r="O555" s="249"/>
      <c r="P555" s="249"/>
      <c r="Q555" s="250"/>
      <c r="R555" s="252"/>
      <c r="S555" s="15"/>
      <c r="T555" s="15"/>
      <c r="U555" s="15"/>
      <c r="V555" s="15"/>
    </row>
    <row r="556" spans="1:22">
      <c r="A556" s="253"/>
      <c r="B556" s="254"/>
      <c r="C556" s="255"/>
      <c r="D556" s="256"/>
      <c r="E556" s="256"/>
      <c r="F556" s="256"/>
      <c r="G556" s="256"/>
      <c r="H556" s="256"/>
      <c r="I556" s="256"/>
      <c r="J556" s="257"/>
      <c r="K556" s="255"/>
      <c r="L556" s="256"/>
      <c r="M556" s="256"/>
      <c r="N556" s="256"/>
      <c r="O556" s="255"/>
      <c r="P556" s="255"/>
      <c r="Q556" s="256"/>
      <c r="R556" s="258"/>
      <c r="S556" s="15"/>
      <c r="T556" s="15"/>
      <c r="U556" s="15"/>
      <c r="V556" s="15"/>
    </row>
    <row r="557" spans="1:22">
      <c r="A557" s="253"/>
      <c r="B557" s="317"/>
      <c r="C557" s="318"/>
      <c r="D557" s="319"/>
      <c r="E557" s="319"/>
      <c r="F557" s="319"/>
      <c r="G557" s="319"/>
      <c r="H557" s="319"/>
      <c r="I557" s="319"/>
      <c r="J557" s="320"/>
      <c r="K557" s="318"/>
      <c r="L557" s="319"/>
      <c r="M557" s="319"/>
      <c r="N557" s="319"/>
      <c r="O557" s="318"/>
      <c r="P557" s="321"/>
      <c r="Q557" s="319"/>
      <c r="R557" s="322"/>
      <c r="S557" s="15"/>
      <c r="T557" s="15"/>
      <c r="U557" s="15"/>
      <c r="V557" s="15"/>
    </row>
    <row r="558" spans="1:22">
      <c r="A558" s="253"/>
      <c r="B558" s="234"/>
      <c r="C558" s="249"/>
      <c r="D558" s="250"/>
      <c r="E558" s="250"/>
      <c r="F558" s="250"/>
      <c r="G558" s="250"/>
      <c r="H558" s="250"/>
      <c r="I558" s="250"/>
      <c r="J558" s="251"/>
      <c r="K558" s="249"/>
      <c r="L558" s="250"/>
      <c r="M558" s="250"/>
      <c r="N558" s="250"/>
      <c r="O558" s="249"/>
      <c r="P558" s="249"/>
      <c r="Q558" s="250"/>
      <c r="R558" s="252"/>
      <c r="S558" s="15"/>
      <c r="T558" s="15"/>
      <c r="U558" s="15"/>
      <c r="V558" s="15"/>
    </row>
    <row r="559" spans="1:22">
      <c r="A559" s="253"/>
      <c r="B559" s="254"/>
      <c r="C559" s="255"/>
      <c r="D559" s="256"/>
      <c r="E559" s="256"/>
      <c r="F559" s="256"/>
      <c r="G559" s="256"/>
      <c r="H559" s="256"/>
      <c r="I559" s="256"/>
      <c r="J559" s="257"/>
      <c r="K559" s="255"/>
      <c r="L559" s="256"/>
      <c r="M559" s="256"/>
      <c r="N559" s="256"/>
      <c r="O559" s="255"/>
      <c r="P559" s="255"/>
      <c r="Q559" s="256"/>
      <c r="R559" s="258"/>
      <c r="S559" s="15"/>
      <c r="T559" s="15"/>
      <c r="U559" s="15"/>
      <c r="V559" s="15"/>
    </row>
    <row r="560" spans="1:22">
      <c r="A560" s="253"/>
      <c r="B560" s="317"/>
      <c r="C560" s="318"/>
      <c r="D560" s="319"/>
      <c r="E560" s="319"/>
      <c r="F560" s="319"/>
      <c r="G560" s="319"/>
      <c r="H560" s="319"/>
      <c r="I560" s="319"/>
      <c r="J560" s="320"/>
      <c r="K560" s="318"/>
      <c r="L560" s="319"/>
      <c r="M560" s="319"/>
      <c r="N560" s="319"/>
      <c r="O560" s="318"/>
      <c r="P560" s="321"/>
      <c r="Q560" s="319"/>
      <c r="R560" s="322"/>
      <c r="S560" s="15"/>
      <c r="T560" s="15"/>
      <c r="U560" s="15"/>
      <c r="V560" s="15"/>
    </row>
    <row r="561" spans="1:22">
      <c r="A561" s="253"/>
      <c r="B561" s="234"/>
      <c r="C561" s="249"/>
      <c r="D561" s="250"/>
      <c r="E561" s="250"/>
      <c r="F561" s="250"/>
      <c r="G561" s="250"/>
      <c r="H561" s="250"/>
      <c r="I561" s="250"/>
      <c r="J561" s="251"/>
      <c r="K561" s="249"/>
      <c r="L561" s="250"/>
      <c r="M561" s="250"/>
      <c r="N561" s="250"/>
      <c r="O561" s="249"/>
      <c r="P561" s="249"/>
      <c r="Q561" s="250"/>
      <c r="R561" s="252"/>
      <c r="S561" s="15"/>
      <c r="T561" s="15"/>
      <c r="U561" s="15"/>
      <c r="V561" s="15"/>
    </row>
    <row r="562" spans="1:22">
      <c r="A562" s="253"/>
      <c r="B562" s="254"/>
      <c r="C562" s="255"/>
      <c r="D562" s="256"/>
      <c r="E562" s="256"/>
      <c r="F562" s="256"/>
      <c r="G562" s="256"/>
      <c r="H562" s="256"/>
      <c r="I562" s="256"/>
      <c r="J562" s="257"/>
      <c r="K562" s="255"/>
      <c r="L562" s="256"/>
      <c r="M562" s="256"/>
      <c r="N562" s="256"/>
      <c r="O562" s="255"/>
      <c r="P562" s="255"/>
      <c r="Q562" s="256"/>
      <c r="R562" s="258"/>
      <c r="S562" s="15"/>
      <c r="T562" s="15"/>
      <c r="U562" s="15"/>
      <c r="V562" s="15"/>
    </row>
    <row r="563" spans="1:22">
      <c r="A563" s="253"/>
      <c r="B563" s="317"/>
      <c r="C563" s="318"/>
      <c r="D563" s="319"/>
      <c r="E563" s="319"/>
      <c r="F563" s="319"/>
      <c r="G563" s="319"/>
      <c r="H563" s="319"/>
      <c r="I563" s="319"/>
      <c r="J563" s="320"/>
      <c r="K563" s="318"/>
      <c r="L563" s="319"/>
      <c r="M563" s="319"/>
      <c r="N563" s="319"/>
      <c r="O563" s="318"/>
      <c r="P563" s="321"/>
      <c r="Q563" s="319"/>
      <c r="R563" s="322"/>
      <c r="S563" s="15"/>
      <c r="T563" s="15"/>
      <c r="U563" s="15"/>
      <c r="V563" s="15"/>
    </row>
    <row r="564" spans="1:22">
      <c r="A564" s="253"/>
      <c r="B564" s="234"/>
      <c r="C564" s="249"/>
      <c r="D564" s="250"/>
      <c r="E564" s="250"/>
      <c r="F564" s="250"/>
      <c r="G564" s="250"/>
      <c r="H564" s="250"/>
      <c r="I564" s="250"/>
      <c r="J564" s="251"/>
      <c r="K564" s="249"/>
      <c r="L564" s="250"/>
      <c r="M564" s="250"/>
      <c r="N564" s="250"/>
      <c r="O564" s="249"/>
      <c r="P564" s="249"/>
      <c r="Q564" s="250"/>
      <c r="R564" s="252"/>
      <c r="S564" s="15"/>
      <c r="T564" s="15"/>
      <c r="U564" s="15"/>
      <c r="V564" s="15"/>
    </row>
    <row r="565" spans="1:22">
      <c r="A565" s="253"/>
      <c r="B565" s="254"/>
      <c r="C565" s="255"/>
      <c r="D565" s="256"/>
      <c r="E565" s="256"/>
      <c r="F565" s="256"/>
      <c r="G565" s="256"/>
      <c r="H565" s="256"/>
      <c r="I565" s="256"/>
      <c r="J565" s="257"/>
      <c r="K565" s="255"/>
      <c r="L565" s="256"/>
      <c r="M565" s="256"/>
      <c r="N565" s="256"/>
      <c r="O565" s="255"/>
      <c r="P565" s="255"/>
      <c r="Q565" s="256"/>
      <c r="R565" s="258"/>
      <c r="S565" s="15"/>
      <c r="T565" s="15"/>
      <c r="U565" s="15"/>
      <c r="V565" s="15"/>
    </row>
    <row r="566" spans="1:22">
      <c r="A566" s="253"/>
      <c r="B566" s="317"/>
      <c r="C566" s="318"/>
      <c r="D566" s="319"/>
      <c r="E566" s="319"/>
      <c r="F566" s="319"/>
      <c r="G566" s="319"/>
      <c r="H566" s="319"/>
      <c r="I566" s="319"/>
      <c r="J566" s="320"/>
      <c r="K566" s="318"/>
      <c r="L566" s="319"/>
      <c r="M566" s="319"/>
      <c r="N566" s="319"/>
      <c r="O566" s="318"/>
      <c r="P566" s="321"/>
      <c r="Q566" s="319"/>
      <c r="R566" s="322"/>
      <c r="S566" s="15"/>
      <c r="T566" s="15"/>
      <c r="U566" s="15"/>
      <c r="V566" s="15"/>
    </row>
    <row r="567" spans="1:22">
      <c r="A567" s="253"/>
      <c r="B567" s="234"/>
      <c r="C567" s="249"/>
      <c r="D567" s="250"/>
      <c r="E567" s="250"/>
      <c r="F567" s="250"/>
      <c r="G567" s="250"/>
      <c r="H567" s="250"/>
      <c r="I567" s="250"/>
      <c r="J567" s="251"/>
      <c r="K567" s="249"/>
      <c r="L567" s="250"/>
      <c r="M567" s="250"/>
      <c r="N567" s="250"/>
      <c r="O567" s="249"/>
      <c r="P567" s="249"/>
      <c r="Q567" s="250"/>
      <c r="R567" s="252"/>
      <c r="S567" s="15"/>
      <c r="T567" s="15"/>
      <c r="U567" s="15"/>
      <c r="V567" s="15"/>
    </row>
    <row r="568" spans="1:22">
      <c r="A568" s="253"/>
      <c r="B568" s="254"/>
      <c r="C568" s="255"/>
      <c r="D568" s="256"/>
      <c r="E568" s="256"/>
      <c r="F568" s="256"/>
      <c r="G568" s="256"/>
      <c r="H568" s="256"/>
      <c r="I568" s="256"/>
      <c r="J568" s="257"/>
      <c r="K568" s="255"/>
      <c r="L568" s="256"/>
      <c r="M568" s="256"/>
      <c r="N568" s="256"/>
      <c r="O568" s="255"/>
      <c r="P568" s="255"/>
      <c r="Q568" s="256"/>
      <c r="R568" s="258"/>
      <c r="S568" s="15"/>
      <c r="T568" s="15"/>
      <c r="U568" s="15"/>
      <c r="V568" s="15"/>
    </row>
    <row r="569" spans="1:22">
      <c r="A569" s="253"/>
      <c r="B569" s="317"/>
      <c r="C569" s="318"/>
      <c r="D569" s="319"/>
      <c r="E569" s="331"/>
      <c r="F569" s="319"/>
      <c r="G569" s="319"/>
      <c r="H569" s="319"/>
      <c r="I569" s="319"/>
      <c r="J569" s="320"/>
      <c r="K569" s="318"/>
      <c r="L569" s="319"/>
      <c r="M569" s="319"/>
      <c r="N569" s="319"/>
      <c r="O569" s="318"/>
      <c r="P569" s="321"/>
      <c r="Q569" s="319"/>
      <c r="R569" s="322"/>
      <c r="S569" s="15"/>
      <c r="T569" s="15"/>
      <c r="U569" s="15"/>
      <c r="V569" s="15"/>
    </row>
    <row r="570" spans="1:22">
      <c r="A570" s="253"/>
      <c r="B570" s="234"/>
      <c r="C570" s="249"/>
      <c r="D570" s="250"/>
      <c r="E570" s="250"/>
      <c r="F570" s="250"/>
      <c r="G570" s="250"/>
      <c r="H570" s="250"/>
      <c r="I570" s="250"/>
      <c r="J570" s="251"/>
      <c r="K570" s="249"/>
      <c r="L570" s="250"/>
      <c r="M570" s="250"/>
      <c r="N570" s="250"/>
      <c r="O570" s="249"/>
      <c r="P570" s="249"/>
      <c r="Q570" s="250"/>
      <c r="R570" s="252"/>
      <c r="S570" s="15"/>
      <c r="T570" s="15"/>
      <c r="U570" s="15"/>
      <c r="V570" s="15"/>
    </row>
    <row r="571" spans="1:22">
      <c r="A571" s="253"/>
      <c r="B571" s="254"/>
      <c r="C571" s="255"/>
      <c r="D571" s="256"/>
      <c r="E571" s="256"/>
      <c r="F571" s="256"/>
      <c r="G571" s="256"/>
      <c r="H571" s="256"/>
      <c r="I571" s="256"/>
      <c r="J571" s="257"/>
      <c r="K571" s="255"/>
      <c r="L571" s="256"/>
      <c r="M571" s="256"/>
      <c r="N571" s="256"/>
      <c r="O571" s="255"/>
      <c r="P571" s="255"/>
      <c r="Q571" s="256"/>
      <c r="R571" s="258"/>
      <c r="S571" s="15"/>
      <c r="T571" s="15"/>
      <c r="U571" s="15"/>
      <c r="V571" s="15"/>
    </row>
    <row r="572" spans="1:22">
      <c r="A572" s="253"/>
      <c r="B572" s="317"/>
      <c r="C572" s="318"/>
      <c r="D572" s="319"/>
      <c r="E572" s="319"/>
      <c r="F572" s="319"/>
      <c r="G572" s="319"/>
      <c r="H572" s="319"/>
      <c r="I572" s="319"/>
      <c r="J572" s="320"/>
      <c r="K572" s="318"/>
      <c r="L572" s="319"/>
      <c r="M572" s="319"/>
      <c r="N572" s="319"/>
      <c r="O572" s="318"/>
      <c r="P572" s="321"/>
      <c r="Q572" s="319"/>
      <c r="R572" s="322"/>
      <c r="S572" s="15"/>
      <c r="T572" s="15"/>
      <c r="U572" s="15"/>
      <c r="V572" s="15"/>
    </row>
    <row r="573" spans="1:22">
      <c r="A573" s="253"/>
      <c r="B573" s="234"/>
      <c r="C573" s="249"/>
      <c r="D573" s="250"/>
      <c r="E573" s="250"/>
      <c r="F573" s="250"/>
      <c r="G573" s="250"/>
      <c r="H573" s="250"/>
      <c r="I573" s="250"/>
      <c r="J573" s="251"/>
      <c r="K573" s="249"/>
      <c r="L573" s="250"/>
      <c r="M573" s="250"/>
      <c r="N573" s="250"/>
      <c r="O573" s="249"/>
      <c r="P573" s="249"/>
      <c r="Q573" s="250"/>
      <c r="R573" s="252"/>
      <c r="S573" s="15"/>
      <c r="T573" s="15"/>
      <c r="U573" s="15"/>
      <c r="V573" s="15"/>
    </row>
    <row r="574" spans="1:22">
      <c r="A574" s="253"/>
      <c r="B574" s="254"/>
      <c r="C574" s="255"/>
      <c r="D574" s="256"/>
      <c r="E574" s="256"/>
      <c r="F574" s="256"/>
      <c r="G574" s="256"/>
      <c r="H574" s="256"/>
      <c r="I574" s="256"/>
      <c r="J574" s="257"/>
      <c r="K574" s="255"/>
      <c r="L574" s="256"/>
      <c r="M574" s="256"/>
      <c r="N574" s="256"/>
      <c r="O574" s="255"/>
      <c r="P574" s="255"/>
      <c r="Q574" s="256"/>
      <c r="R574" s="258"/>
      <c r="S574" s="15"/>
      <c r="T574" s="15"/>
      <c r="U574" s="15"/>
      <c r="V574" s="15"/>
    </row>
    <row r="575" spans="1:22">
      <c r="A575" s="253"/>
      <c r="B575" s="317"/>
      <c r="C575" s="318"/>
      <c r="D575" s="319"/>
      <c r="E575" s="319"/>
      <c r="F575" s="319"/>
      <c r="G575" s="319"/>
      <c r="H575" s="319"/>
      <c r="I575" s="319"/>
      <c r="J575" s="320"/>
      <c r="K575" s="318"/>
      <c r="L575" s="319"/>
      <c r="M575" s="319"/>
      <c r="N575" s="319"/>
      <c r="O575" s="318"/>
      <c r="P575" s="321"/>
      <c r="Q575" s="319"/>
      <c r="R575" s="322"/>
      <c r="S575" s="15"/>
      <c r="T575" s="15"/>
      <c r="U575" s="15"/>
      <c r="V575" s="15"/>
    </row>
    <row r="576" spans="1:22">
      <c r="A576" s="253"/>
      <c r="B576" s="234"/>
      <c r="C576" s="249"/>
      <c r="D576" s="250"/>
      <c r="E576" s="250"/>
      <c r="F576" s="250"/>
      <c r="G576" s="250"/>
      <c r="H576" s="250"/>
      <c r="I576" s="250"/>
      <c r="J576" s="251"/>
      <c r="K576" s="249"/>
      <c r="L576" s="250"/>
      <c r="M576" s="250"/>
      <c r="N576" s="250"/>
      <c r="O576" s="249"/>
      <c r="P576" s="249"/>
      <c r="Q576" s="250"/>
      <c r="R576" s="252"/>
      <c r="S576" s="15"/>
      <c r="T576" s="15"/>
      <c r="U576" s="15"/>
      <c r="V576" s="15"/>
    </row>
    <row r="577" spans="1:22">
      <c r="A577" s="253"/>
      <c r="B577" s="254"/>
      <c r="C577" s="255"/>
      <c r="D577" s="256"/>
      <c r="E577" s="256"/>
      <c r="F577" s="256"/>
      <c r="G577" s="256"/>
      <c r="H577" s="256"/>
      <c r="I577" s="256"/>
      <c r="J577" s="257"/>
      <c r="K577" s="255"/>
      <c r="L577" s="256"/>
      <c r="M577" s="256"/>
      <c r="N577" s="256"/>
      <c r="O577" s="255"/>
      <c r="P577" s="255"/>
      <c r="Q577" s="256"/>
      <c r="R577" s="258"/>
      <c r="S577" s="15"/>
      <c r="T577" s="15"/>
      <c r="U577" s="15"/>
      <c r="V577" s="15"/>
    </row>
    <row r="578" spans="1:22">
      <c r="A578" s="253"/>
      <c r="B578" s="317"/>
      <c r="C578" s="318"/>
      <c r="D578" s="319"/>
      <c r="E578" s="319"/>
      <c r="F578" s="319"/>
      <c r="G578" s="319"/>
      <c r="H578" s="319"/>
      <c r="I578" s="319"/>
      <c r="J578" s="320"/>
      <c r="K578" s="318"/>
      <c r="L578" s="319"/>
      <c r="M578" s="319"/>
      <c r="N578" s="319"/>
      <c r="O578" s="318"/>
      <c r="P578" s="321"/>
      <c r="Q578" s="319"/>
      <c r="R578" s="322"/>
      <c r="S578" s="15"/>
      <c r="T578" s="15"/>
      <c r="U578" s="15"/>
      <c r="V578" s="15"/>
    </row>
    <row r="579" spans="1:22">
      <c r="A579" s="253"/>
      <c r="B579" s="234"/>
      <c r="C579" s="249"/>
      <c r="D579" s="250"/>
      <c r="E579" s="250"/>
      <c r="F579" s="250"/>
      <c r="G579" s="250"/>
      <c r="H579" s="250"/>
      <c r="I579" s="250"/>
      <c r="J579" s="251"/>
      <c r="K579" s="249"/>
      <c r="L579" s="250"/>
      <c r="M579" s="250"/>
      <c r="N579" s="250"/>
      <c r="O579" s="249"/>
      <c r="P579" s="249"/>
      <c r="Q579" s="250"/>
      <c r="R579" s="252"/>
      <c r="S579" s="15"/>
      <c r="T579" s="15"/>
      <c r="U579" s="15"/>
      <c r="V579" s="15"/>
    </row>
    <row r="580" spans="1:22">
      <c r="A580" s="253"/>
      <c r="B580" s="254"/>
      <c r="C580" s="255"/>
      <c r="D580" s="256"/>
      <c r="E580" s="256"/>
      <c r="F580" s="256"/>
      <c r="G580" s="256"/>
      <c r="H580" s="256"/>
      <c r="I580" s="256"/>
      <c r="J580" s="257"/>
      <c r="K580" s="255"/>
      <c r="L580" s="256"/>
      <c r="M580" s="256"/>
      <c r="N580" s="256"/>
      <c r="O580" s="255"/>
      <c r="P580" s="255"/>
      <c r="Q580" s="256"/>
      <c r="R580" s="258"/>
      <c r="S580" s="15"/>
      <c r="T580" s="15"/>
      <c r="U580" s="15"/>
      <c r="V580" s="15"/>
    </row>
    <row r="581" spans="1:22">
      <c r="A581" s="260"/>
      <c r="B581" s="317"/>
      <c r="C581" s="318"/>
      <c r="D581" s="319"/>
      <c r="E581" s="319"/>
      <c r="F581" s="319"/>
      <c r="G581" s="319"/>
      <c r="H581" s="319"/>
      <c r="I581" s="319"/>
      <c r="J581" s="320"/>
      <c r="K581" s="318"/>
      <c r="L581" s="319"/>
      <c r="M581" s="319"/>
      <c r="N581" s="319"/>
      <c r="O581" s="318"/>
      <c r="P581" s="321"/>
      <c r="Q581" s="319"/>
      <c r="R581" s="322"/>
      <c r="S581" s="15"/>
      <c r="T581" s="15"/>
      <c r="U581" s="15"/>
      <c r="V581" s="15"/>
    </row>
    <row r="582" spans="1:22">
      <c r="A582" s="248"/>
      <c r="B582" s="234"/>
      <c r="C582" s="249"/>
      <c r="D582" s="250"/>
      <c r="E582" s="250"/>
      <c r="F582" s="250"/>
      <c r="G582" s="250"/>
      <c r="H582" s="250"/>
      <c r="I582" s="250"/>
      <c r="J582" s="251"/>
      <c r="K582" s="249"/>
      <c r="L582" s="250"/>
      <c r="M582" s="250"/>
      <c r="N582" s="250"/>
      <c r="O582" s="249"/>
      <c r="P582" s="249"/>
      <c r="Q582" s="250"/>
      <c r="R582" s="252"/>
      <c r="S582" s="15"/>
      <c r="T582" s="15"/>
      <c r="U582" s="15"/>
      <c r="V582" s="15"/>
    </row>
    <row r="583" spans="1:22">
      <c r="A583" s="253"/>
      <c r="B583" s="254"/>
      <c r="C583" s="255"/>
      <c r="D583" s="256"/>
      <c r="E583" s="256"/>
      <c r="F583" s="256"/>
      <c r="G583" s="256"/>
      <c r="H583" s="256"/>
      <c r="I583" s="256"/>
      <c r="J583" s="257"/>
      <c r="K583" s="255"/>
      <c r="L583" s="256"/>
      <c r="M583" s="256"/>
      <c r="N583" s="256"/>
      <c r="O583" s="255"/>
      <c r="P583" s="255"/>
      <c r="Q583" s="256"/>
      <c r="R583" s="258"/>
      <c r="S583" s="15"/>
      <c r="T583" s="15"/>
      <c r="U583" s="15"/>
      <c r="V583" s="15"/>
    </row>
    <row r="584" spans="1:22">
      <c r="A584" s="253"/>
      <c r="B584" s="317"/>
      <c r="C584" s="318"/>
      <c r="D584" s="319"/>
      <c r="E584" s="319"/>
      <c r="F584" s="319"/>
      <c r="G584" s="319"/>
      <c r="H584" s="319"/>
      <c r="I584" s="319"/>
      <c r="J584" s="320"/>
      <c r="K584" s="318"/>
      <c r="L584" s="319"/>
      <c r="M584" s="319"/>
      <c r="N584" s="319"/>
      <c r="O584" s="318"/>
      <c r="P584" s="321"/>
      <c r="Q584" s="319"/>
      <c r="R584" s="322"/>
      <c r="S584" s="15"/>
      <c r="T584" s="15"/>
      <c r="U584" s="15"/>
      <c r="V584" s="15"/>
    </row>
    <row r="585" spans="1:22">
      <c r="A585" s="253"/>
      <c r="B585" s="234"/>
      <c r="C585" s="249"/>
      <c r="D585" s="250"/>
      <c r="E585" s="250"/>
      <c r="F585" s="250"/>
      <c r="G585" s="250"/>
      <c r="H585" s="250"/>
      <c r="I585" s="250"/>
      <c r="J585" s="251"/>
      <c r="K585" s="249"/>
      <c r="L585" s="250"/>
      <c r="M585" s="250"/>
      <c r="N585" s="250"/>
      <c r="O585" s="249"/>
      <c r="P585" s="249"/>
      <c r="Q585" s="250"/>
      <c r="R585" s="252"/>
      <c r="S585" s="15"/>
      <c r="T585" s="15"/>
      <c r="U585" s="15"/>
      <c r="V585" s="15"/>
    </row>
    <row r="586" spans="1:22">
      <c r="A586" s="253"/>
      <c r="B586" s="254"/>
      <c r="C586" s="255"/>
      <c r="D586" s="256"/>
      <c r="E586" s="256"/>
      <c r="F586" s="256"/>
      <c r="G586" s="256"/>
      <c r="H586" s="256"/>
      <c r="I586" s="256"/>
      <c r="J586" s="257"/>
      <c r="K586" s="255"/>
      <c r="L586" s="256"/>
      <c r="M586" s="256"/>
      <c r="N586" s="256"/>
      <c r="O586" s="255"/>
      <c r="P586" s="255"/>
      <c r="Q586" s="256"/>
      <c r="R586" s="258"/>
      <c r="S586" s="15"/>
      <c r="T586" s="15"/>
      <c r="U586" s="15"/>
      <c r="V586" s="15"/>
    </row>
    <row r="587" spans="1:22">
      <c r="A587" s="253"/>
      <c r="B587" s="317"/>
      <c r="C587" s="318"/>
      <c r="D587" s="319"/>
      <c r="E587" s="319"/>
      <c r="F587" s="319"/>
      <c r="G587" s="319"/>
      <c r="H587" s="319"/>
      <c r="I587" s="319"/>
      <c r="J587" s="320"/>
      <c r="K587" s="318"/>
      <c r="L587" s="319"/>
      <c r="M587" s="319"/>
      <c r="N587" s="319"/>
      <c r="O587" s="318"/>
      <c r="P587" s="321"/>
      <c r="Q587" s="319"/>
      <c r="R587" s="322"/>
      <c r="S587" s="15"/>
      <c r="T587" s="15"/>
      <c r="U587" s="15"/>
      <c r="V587" s="15"/>
    </row>
    <row r="588" spans="1:22">
      <c r="A588" s="253"/>
      <c r="B588" s="234"/>
      <c r="C588" s="249"/>
      <c r="D588" s="250"/>
      <c r="E588" s="250"/>
      <c r="F588" s="250"/>
      <c r="G588" s="250"/>
      <c r="H588" s="250"/>
      <c r="I588" s="250"/>
      <c r="J588" s="251"/>
      <c r="K588" s="249"/>
      <c r="L588" s="250"/>
      <c r="M588" s="250"/>
      <c r="N588" s="250"/>
      <c r="O588" s="249"/>
      <c r="P588" s="249"/>
      <c r="Q588" s="250"/>
      <c r="R588" s="252"/>
      <c r="S588" s="15"/>
      <c r="T588" s="15"/>
      <c r="U588" s="15"/>
      <c r="V588" s="15"/>
    </row>
    <row r="589" spans="1:22">
      <c r="A589" s="253"/>
      <c r="B589" s="254"/>
      <c r="C589" s="255"/>
      <c r="D589" s="256"/>
      <c r="E589" s="256"/>
      <c r="F589" s="256"/>
      <c r="G589" s="256"/>
      <c r="H589" s="256"/>
      <c r="I589" s="256"/>
      <c r="J589" s="257"/>
      <c r="K589" s="255"/>
      <c r="L589" s="256"/>
      <c r="M589" s="256"/>
      <c r="N589" s="256"/>
      <c r="O589" s="255"/>
      <c r="P589" s="255"/>
      <c r="Q589" s="256"/>
      <c r="R589" s="258"/>
      <c r="S589" s="15"/>
      <c r="T589" s="15"/>
      <c r="U589" s="15"/>
      <c r="V589" s="15"/>
    </row>
    <row r="590" spans="1:22">
      <c r="A590" s="253"/>
      <c r="B590" s="317"/>
      <c r="C590" s="318"/>
      <c r="D590" s="319"/>
      <c r="E590" s="319"/>
      <c r="F590" s="319"/>
      <c r="G590" s="319"/>
      <c r="H590" s="319"/>
      <c r="I590" s="319"/>
      <c r="J590" s="320"/>
      <c r="K590" s="318"/>
      <c r="L590" s="319"/>
      <c r="M590" s="319"/>
      <c r="N590" s="319"/>
      <c r="O590" s="318"/>
      <c r="P590" s="321"/>
      <c r="Q590" s="319"/>
      <c r="R590" s="322"/>
      <c r="S590" s="15"/>
      <c r="T590" s="15"/>
      <c r="U590" s="15"/>
      <c r="V590" s="15"/>
    </row>
    <row r="591" spans="1:22">
      <c r="A591" s="253"/>
      <c r="B591" s="234"/>
      <c r="C591" s="249"/>
      <c r="D591" s="250"/>
      <c r="E591" s="250"/>
      <c r="F591" s="250"/>
      <c r="G591" s="250"/>
      <c r="H591" s="250"/>
      <c r="I591" s="250"/>
      <c r="J591" s="251"/>
      <c r="K591" s="249"/>
      <c r="L591" s="250"/>
      <c r="M591" s="250"/>
      <c r="N591" s="250"/>
      <c r="O591" s="249"/>
      <c r="P591" s="249"/>
      <c r="Q591" s="250"/>
      <c r="R591" s="252"/>
      <c r="S591" s="15"/>
      <c r="T591" s="15"/>
      <c r="U591" s="15"/>
      <c r="V591" s="15"/>
    </row>
    <row r="592" spans="1:22">
      <c r="A592" s="253"/>
      <c r="B592" s="254"/>
      <c r="C592" s="255"/>
      <c r="D592" s="256"/>
      <c r="E592" s="256"/>
      <c r="F592" s="256"/>
      <c r="G592" s="256"/>
      <c r="H592" s="256"/>
      <c r="I592" s="256"/>
      <c r="J592" s="257"/>
      <c r="K592" s="255"/>
      <c r="L592" s="256"/>
      <c r="M592" s="256"/>
      <c r="N592" s="256"/>
      <c r="O592" s="255"/>
      <c r="P592" s="255"/>
      <c r="Q592" s="256"/>
      <c r="R592" s="258"/>
      <c r="S592" s="15"/>
      <c r="T592" s="15"/>
      <c r="U592" s="15"/>
      <c r="V592" s="15"/>
    </row>
    <row r="593" spans="1:22">
      <c r="A593" s="253"/>
      <c r="B593" s="317"/>
      <c r="C593" s="318"/>
      <c r="D593" s="319"/>
      <c r="E593" s="319"/>
      <c r="F593" s="319"/>
      <c r="G593" s="319"/>
      <c r="H593" s="319"/>
      <c r="I593" s="319"/>
      <c r="J593" s="320"/>
      <c r="K593" s="318"/>
      <c r="L593" s="319"/>
      <c r="M593" s="319"/>
      <c r="N593" s="319"/>
      <c r="O593" s="318"/>
      <c r="P593" s="321"/>
      <c r="Q593" s="319"/>
      <c r="R593" s="322"/>
      <c r="S593" s="15"/>
      <c r="T593" s="15"/>
      <c r="U593" s="15"/>
      <c r="V593" s="15"/>
    </row>
    <row r="594" spans="1:22">
      <c r="A594" s="253"/>
      <c r="B594" s="234"/>
      <c r="C594" s="249"/>
      <c r="D594" s="250"/>
      <c r="E594" s="250"/>
      <c r="F594" s="250"/>
      <c r="G594" s="250"/>
      <c r="H594" s="250"/>
      <c r="I594" s="250"/>
      <c r="J594" s="251"/>
      <c r="K594" s="249"/>
      <c r="L594" s="250"/>
      <c r="M594" s="250"/>
      <c r="N594" s="250"/>
      <c r="O594" s="249"/>
      <c r="P594" s="249"/>
      <c r="Q594" s="250"/>
      <c r="R594" s="252"/>
      <c r="S594" s="15"/>
      <c r="T594" s="15"/>
      <c r="U594" s="15"/>
      <c r="V594" s="15"/>
    </row>
    <row r="595" spans="1:22">
      <c r="A595" s="253"/>
      <c r="B595" s="254"/>
      <c r="C595" s="255"/>
      <c r="D595" s="256"/>
      <c r="E595" s="256"/>
      <c r="F595" s="256"/>
      <c r="G595" s="256"/>
      <c r="H595" s="256"/>
      <c r="I595" s="256"/>
      <c r="J595" s="257"/>
      <c r="K595" s="255"/>
      <c r="L595" s="256"/>
      <c r="M595" s="256"/>
      <c r="N595" s="256"/>
      <c r="O595" s="255"/>
      <c r="P595" s="255"/>
      <c r="Q595" s="256"/>
      <c r="R595" s="258"/>
      <c r="S595" s="15"/>
      <c r="T595" s="15"/>
      <c r="U595" s="15"/>
      <c r="V595" s="15"/>
    </row>
    <row r="596" spans="1:22">
      <c r="A596" s="253"/>
      <c r="B596" s="317"/>
      <c r="C596" s="318"/>
      <c r="D596" s="319"/>
      <c r="E596" s="319"/>
      <c r="F596" s="319"/>
      <c r="G596" s="319"/>
      <c r="H596" s="319"/>
      <c r="I596" s="319"/>
      <c r="J596" s="320"/>
      <c r="K596" s="318"/>
      <c r="L596" s="319"/>
      <c r="M596" s="319"/>
      <c r="N596" s="319"/>
      <c r="O596" s="318"/>
      <c r="P596" s="321"/>
      <c r="Q596" s="319"/>
      <c r="R596" s="322"/>
      <c r="S596" s="15"/>
      <c r="T596" s="15"/>
      <c r="U596" s="15"/>
      <c r="V596" s="15"/>
    </row>
    <row r="597" spans="1:22">
      <c r="A597" s="253"/>
      <c r="B597" s="234"/>
      <c r="C597" s="249"/>
      <c r="D597" s="250"/>
      <c r="E597" s="250"/>
      <c r="F597" s="250"/>
      <c r="G597" s="250"/>
      <c r="H597" s="250"/>
      <c r="I597" s="250"/>
      <c r="J597" s="251"/>
      <c r="K597" s="249"/>
      <c r="L597" s="250"/>
      <c r="M597" s="250"/>
      <c r="N597" s="250"/>
      <c r="O597" s="249"/>
      <c r="P597" s="249"/>
      <c r="Q597" s="250"/>
      <c r="R597" s="252"/>
      <c r="S597" s="15"/>
      <c r="T597" s="15"/>
      <c r="U597" s="15"/>
      <c r="V597" s="15"/>
    </row>
    <row r="598" spans="1:22">
      <c r="A598" s="253"/>
      <c r="B598" s="254"/>
      <c r="C598" s="255"/>
      <c r="D598" s="256"/>
      <c r="E598" s="256"/>
      <c r="F598" s="256"/>
      <c r="G598" s="256"/>
      <c r="H598" s="256"/>
      <c r="I598" s="256"/>
      <c r="J598" s="257"/>
      <c r="K598" s="255"/>
      <c r="L598" s="256"/>
      <c r="M598" s="256"/>
      <c r="N598" s="256"/>
      <c r="O598" s="255"/>
      <c r="P598" s="255"/>
      <c r="Q598" s="256"/>
      <c r="R598" s="258"/>
      <c r="S598" s="15"/>
      <c r="T598" s="15"/>
      <c r="U598" s="15"/>
      <c r="V598" s="15"/>
    </row>
    <row r="599" spans="1:22">
      <c r="A599" s="253"/>
      <c r="B599" s="317"/>
      <c r="C599" s="318"/>
      <c r="D599" s="319"/>
      <c r="E599" s="319"/>
      <c r="F599" s="319"/>
      <c r="G599" s="319"/>
      <c r="H599" s="319"/>
      <c r="I599" s="319"/>
      <c r="J599" s="320"/>
      <c r="K599" s="318"/>
      <c r="L599" s="319"/>
      <c r="M599" s="319"/>
      <c r="N599" s="319"/>
      <c r="O599" s="318"/>
      <c r="P599" s="321"/>
      <c r="Q599" s="319"/>
      <c r="R599" s="322"/>
      <c r="S599" s="15"/>
      <c r="T599" s="15"/>
      <c r="U599" s="15"/>
      <c r="V599" s="15"/>
    </row>
    <row r="600" spans="1:22">
      <c r="A600" s="253"/>
      <c r="B600" s="234"/>
      <c r="C600" s="249"/>
      <c r="D600" s="250"/>
      <c r="E600" s="250"/>
      <c r="F600" s="250"/>
      <c r="G600" s="250"/>
      <c r="H600" s="250"/>
      <c r="I600" s="250"/>
      <c r="J600" s="251"/>
      <c r="K600" s="249"/>
      <c r="L600" s="250"/>
      <c r="M600" s="250"/>
      <c r="N600" s="250"/>
      <c r="O600" s="249"/>
      <c r="P600" s="249"/>
      <c r="Q600" s="250"/>
      <c r="R600" s="252"/>
      <c r="S600" s="15"/>
      <c r="T600" s="15"/>
      <c r="U600" s="15"/>
      <c r="V600" s="15"/>
    </row>
    <row r="601" spans="1:22">
      <c r="A601" s="253"/>
      <c r="B601" s="254"/>
      <c r="C601" s="255"/>
      <c r="D601" s="256"/>
      <c r="E601" s="256"/>
      <c r="F601" s="256"/>
      <c r="G601" s="256"/>
      <c r="H601" s="256"/>
      <c r="I601" s="256"/>
      <c r="J601" s="257"/>
      <c r="K601" s="255"/>
      <c r="L601" s="256"/>
      <c r="M601" s="256"/>
      <c r="N601" s="256"/>
      <c r="O601" s="255"/>
      <c r="P601" s="255"/>
      <c r="Q601" s="256"/>
      <c r="R601" s="258"/>
      <c r="S601" s="15"/>
      <c r="T601" s="15"/>
      <c r="U601" s="15"/>
      <c r="V601" s="15"/>
    </row>
    <row r="602" spans="1:22">
      <c r="A602" s="253"/>
      <c r="B602" s="317"/>
      <c r="C602" s="318"/>
      <c r="D602" s="319"/>
      <c r="E602" s="319"/>
      <c r="F602" s="319"/>
      <c r="G602" s="319"/>
      <c r="H602" s="319"/>
      <c r="I602" s="319"/>
      <c r="J602" s="320"/>
      <c r="K602" s="318"/>
      <c r="L602" s="319"/>
      <c r="M602" s="319"/>
      <c r="N602" s="319"/>
      <c r="O602" s="318"/>
      <c r="P602" s="321"/>
      <c r="Q602" s="319"/>
      <c r="R602" s="322"/>
      <c r="S602" s="15"/>
      <c r="T602" s="15"/>
      <c r="U602" s="15"/>
      <c r="V602" s="15"/>
    </row>
    <row r="603" spans="1:22">
      <c r="A603" s="253"/>
      <c r="B603" s="234"/>
      <c r="C603" s="249"/>
      <c r="D603" s="250"/>
      <c r="E603" s="250"/>
      <c r="F603" s="250"/>
      <c r="G603" s="250"/>
      <c r="H603" s="250"/>
      <c r="I603" s="250"/>
      <c r="J603" s="251"/>
      <c r="K603" s="249"/>
      <c r="L603" s="250"/>
      <c r="M603" s="250"/>
      <c r="N603" s="250"/>
      <c r="O603" s="249"/>
      <c r="P603" s="249"/>
      <c r="Q603" s="250"/>
      <c r="R603" s="252"/>
      <c r="S603" s="15"/>
      <c r="T603" s="15"/>
      <c r="U603" s="15"/>
      <c r="V603" s="15"/>
    </row>
    <row r="604" spans="1:22">
      <c r="A604" s="253"/>
      <c r="B604" s="254"/>
      <c r="C604" s="255"/>
      <c r="D604" s="256"/>
      <c r="E604" s="256"/>
      <c r="F604" s="256"/>
      <c r="G604" s="256"/>
      <c r="H604" s="256"/>
      <c r="I604" s="256"/>
      <c r="J604" s="257"/>
      <c r="K604" s="255"/>
      <c r="L604" s="256"/>
      <c r="M604" s="256"/>
      <c r="N604" s="256"/>
      <c r="O604" s="255"/>
      <c r="P604" s="255"/>
      <c r="Q604" s="256"/>
      <c r="R604" s="258"/>
      <c r="S604" s="15"/>
      <c r="T604" s="15"/>
      <c r="U604" s="15"/>
      <c r="V604" s="15"/>
    </row>
    <row r="605" spans="1:22">
      <c r="A605" s="253"/>
      <c r="B605" s="317"/>
      <c r="C605" s="318"/>
      <c r="D605" s="319"/>
      <c r="E605" s="319"/>
      <c r="F605" s="319"/>
      <c r="G605" s="319"/>
      <c r="H605" s="319"/>
      <c r="I605" s="319"/>
      <c r="J605" s="320"/>
      <c r="K605" s="318"/>
      <c r="L605" s="319"/>
      <c r="M605" s="319"/>
      <c r="N605" s="319"/>
      <c r="O605" s="318"/>
      <c r="P605" s="321"/>
      <c r="Q605" s="319"/>
      <c r="R605" s="322"/>
      <c r="S605" s="15"/>
      <c r="T605" s="15"/>
      <c r="U605" s="15"/>
      <c r="V605" s="15"/>
    </row>
    <row r="606" spans="1:22">
      <c r="A606" s="253"/>
      <c r="B606" s="234"/>
      <c r="C606" s="249"/>
      <c r="D606" s="250"/>
      <c r="E606" s="250"/>
      <c r="F606" s="250"/>
      <c r="G606" s="250"/>
      <c r="H606" s="250"/>
      <c r="I606" s="250"/>
      <c r="J606" s="251"/>
      <c r="K606" s="249"/>
      <c r="L606" s="250"/>
      <c r="M606" s="250"/>
      <c r="N606" s="250"/>
      <c r="O606" s="249"/>
      <c r="P606" s="249"/>
      <c r="Q606" s="250"/>
      <c r="R606" s="252"/>
      <c r="S606" s="15"/>
      <c r="T606" s="15"/>
      <c r="U606" s="15"/>
      <c r="V606" s="15"/>
    </row>
    <row r="607" spans="1:22">
      <c r="A607" s="253"/>
      <c r="B607" s="254"/>
      <c r="C607" s="255"/>
      <c r="D607" s="256"/>
      <c r="E607" s="256"/>
      <c r="F607" s="256"/>
      <c r="G607" s="256"/>
      <c r="H607" s="256"/>
      <c r="I607" s="256"/>
      <c r="J607" s="257"/>
      <c r="K607" s="255"/>
      <c r="L607" s="256"/>
      <c r="M607" s="256"/>
      <c r="N607" s="256"/>
      <c r="O607" s="255"/>
      <c r="P607" s="255"/>
      <c r="Q607" s="256"/>
      <c r="R607" s="258"/>
      <c r="S607" s="15"/>
      <c r="T607" s="15"/>
      <c r="U607" s="15"/>
      <c r="V607" s="15"/>
    </row>
    <row r="608" spans="1:22">
      <c r="A608" s="253"/>
      <c r="B608" s="317"/>
      <c r="C608" s="318"/>
      <c r="D608" s="319"/>
      <c r="E608" s="319"/>
      <c r="F608" s="319"/>
      <c r="G608" s="319"/>
      <c r="H608" s="319"/>
      <c r="I608" s="319"/>
      <c r="J608" s="320"/>
      <c r="K608" s="318"/>
      <c r="L608" s="319"/>
      <c r="M608" s="319"/>
      <c r="N608" s="319"/>
      <c r="O608" s="318"/>
      <c r="P608" s="321"/>
      <c r="Q608" s="319"/>
      <c r="R608" s="322"/>
      <c r="S608" s="15"/>
      <c r="T608" s="15"/>
      <c r="U608" s="15"/>
      <c r="V608" s="15"/>
    </row>
    <row r="609" spans="1:22">
      <c r="A609" s="253"/>
      <c r="B609" s="234"/>
      <c r="C609" s="249"/>
      <c r="D609" s="250"/>
      <c r="E609" s="250"/>
      <c r="F609" s="250"/>
      <c r="G609" s="250"/>
      <c r="H609" s="250"/>
      <c r="I609" s="250"/>
      <c r="J609" s="251"/>
      <c r="K609" s="249"/>
      <c r="L609" s="250"/>
      <c r="M609" s="250"/>
      <c r="N609" s="250"/>
      <c r="O609" s="249"/>
      <c r="P609" s="249"/>
      <c r="Q609" s="250"/>
      <c r="R609" s="252"/>
      <c r="S609" s="15"/>
      <c r="T609" s="15"/>
      <c r="U609" s="15"/>
      <c r="V609" s="15"/>
    </row>
    <row r="610" spans="1:22">
      <c r="A610" s="253"/>
      <c r="B610" s="254"/>
      <c r="C610" s="255"/>
      <c r="D610" s="256"/>
      <c r="E610" s="256"/>
      <c r="F610" s="256"/>
      <c r="G610" s="256"/>
      <c r="H610" s="256"/>
      <c r="I610" s="256"/>
      <c r="J610" s="257"/>
      <c r="K610" s="255"/>
      <c r="L610" s="256"/>
      <c r="M610" s="256"/>
      <c r="N610" s="256"/>
      <c r="O610" s="255"/>
      <c r="P610" s="255"/>
      <c r="Q610" s="256"/>
      <c r="R610" s="258"/>
      <c r="S610" s="15"/>
      <c r="T610" s="15"/>
      <c r="U610" s="15"/>
      <c r="V610" s="15"/>
    </row>
    <row r="611" spans="1:22">
      <c r="A611" s="253"/>
      <c r="B611" s="317"/>
      <c r="C611" s="318"/>
      <c r="D611" s="319"/>
      <c r="E611" s="319"/>
      <c r="F611" s="319"/>
      <c r="G611" s="319"/>
      <c r="H611" s="319"/>
      <c r="I611" s="319"/>
      <c r="J611" s="320"/>
      <c r="K611" s="318"/>
      <c r="L611" s="319"/>
      <c r="M611" s="319"/>
      <c r="N611" s="319"/>
      <c r="O611" s="318"/>
      <c r="P611" s="321"/>
      <c r="Q611" s="319"/>
      <c r="R611" s="322"/>
      <c r="S611" s="15"/>
      <c r="T611" s="15"/>
      <c r="U611" s="15"/>
      <c r="V611" s="15"/>
    </row>
    <row r="612" spans="1:22">
      <c r="A612" s="253"/>
      <c r="B612" s="234"/>
      <c r="C612" s="249"/>
      <c r="D612" s="250"/>
      <c r="E612" s="250"/>
      <c r="F612" s="250"/>
      <c r="G612" s="250"/>
      <c r="H612" s="250"/>
      <c r="I612" s="250"/>
      <c r="J612" s="251"/>
      <c r="K612" s="249"/>
      <c r="L612" s="250"/>
      <c r="M612" s="250"/>
      <c r="N612" s="250"/>
      <c r="O612" s="249"/>
      <c r="P612" s="249"/>
      <c r="Q612" s="250"/>
      <c r="R612" s="252"/>
      <c r="S612" s="15"/>
      <c r="T612" s="15"/>
      <c r="U612" s="15"/>
      <c r="V612" s="15"/>
    </row>
    <row r="613" spans="1:22">
      <c r="A613" s="253"/>
      <c r="B613" s="254"/>
      <c r="C613" s="255"/>
      <c r="D613" s="256"/>
      <c r="E613" s="256"/>
      <c r="F613" s="256"/>
      <c r="G613" s="256"/>
      <c r="H613" s="256"/>
      <c r="I613" s="256"/>
      <c r="J613" s="257"/>
      <c r="K613" s="255"/>
      <c r="L613" s="256"/>
      <c r="M613" s="256"/>
      <c r="N613" s="256"/>
      <c r="O613" s="255"/>
      <c r="P613" s="255"/>
      <c r="Q613" s="256"/>
      <c r="R613" s="258"/>
      <c r="S613" s="15"/>
      <c r="T613" s="15"/>
      <c r="U613" s="15"/>
      <c r="V613" s="15"/>
    </row>
    <row r="614" spans="1:22">
      <c r="A614" s="253"/>
      <c r="B614" s="317"/>
      <c r="C614" s="318"/>
      <c r="D614" s="319"/>
      <c r="E614" s="319"/>
      <c r="F614" s="319"/>
      <c r="G614" s="319"/>
      <c r="H614" s="319"/>
      <c r="I614" s="319"/>
      <c r="J614" s="320"/>
      <c r="K614" s="318"/>
      <c r="L614" s="319"/>
      <c r="M614" s="319"/>
      <c r="N614" s="319"/>
      <c r="O614" s="318"/>
      <c r="P614" s="321"/>
      <c r="Q614" s="319"/>
      <c r="R614" s="322"/>
      <c r="S614" s="15"/>
      <c r="T614" s="15"/>
      <c r="U614" s="15"/>
      <c r="V614" s="15"/>
    </row>
    <row r="615" spans="1:22">
      <c r="A615" s="253"/>
      <c r="B615" s="234"/>
      <c r="C615" s="249"/>
      <c r="D615" s="250"/>
      <c r="E615" s="250"/>
      <c r="F615" s="250"/>
      <c r="G615" s="250"/>
      <c r="H615" s="250"/>
      <c r="I615" s="250"/>
      <c r="J615" s="251"/>
      <c r="K615" s="249"/>
      <c r="L615" s="250"/>
      <c r="M615" s="250"/>
      <c r="N615" s="250"/>
      <c r="O615" s="249"/>
      <c r="P615" s="249"/>
      <c r="Q615" s="250"/>
      <c r="R615" s="252"/>
      <c r="S615" s="15"/>
      <c r="T615" s="15"/>
      <c r="U615" s="15"/>
      <c r="V615" s="15"/>
    </row>
    <row r="616" spans="1:22">
      <c r="A616" s="253"/>
      <c r="B616" s="254"/>
      <c r="C616" s="255"/>
      <c r="D616" s="256"/>
      <c r="E616" s="256"/>
      <c r="F616" s="256"/>
      <c r="G616" s="256"/>
      <c r="H616" s="256"/>
      <c r="I616" s="256"/>
      <c r="J616" s="257"/>
      <c r="K616" s="255"/>
      <c r="L616" s="256"/>
      <c r="M616" s="256"/>
      <c r="N616" s="256"/>
      <c r="O616" s="255"/>
      <c r="P616" s="255"/>
      <c r="Q616" s="256"/>
      <c r="R616" s="258"/>
      <c r="S616" s="15"/>
      <c r="T616" s="15"/>
      <c r="U616" s="15"/>
      <c r="V616" s="15"/>
    </row>
    <row r="617" spans="1:22">
      <c r="A617" s="260"/>
      <c r="B617" s="317"/>
      <c r="C617" s="318"/>
      <c r="D617" s="319"/>
      <c r="E617" s="319"/>
      <c r="F617" s="319"/>
      <c r="G617" s="319"/>
      <c r="H617" s="319"/>
      <c r="I617" s="319"/>
      <c r="J617" s="320"/>
      <c r="K617" s="318"/>
      <c r="L617" s="319"/>
      <c r="M617" s="319"/>
      <c r="N617" s="319"/>
      <c r="O617" s="318"/>
      <c r="P617" s="321"/>
      <c r="Q617" s="319"/>
      <c r="R617" s="322"/>
      <c r="S617" s="15"/>
      <c r="T617" s="15"/>
      <c r="U617" s="15"/>
      <c r="V617" s="1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W617"/>
  <sheetViews>
    <sheetView workbookViewId="0">
      <selection activeCell="G36" sqref="G36"/>
    </sheetView>
  </sheetViews>
  <sheetFormatPr defaultRowHeight="15"/>
  <cols>
    <col min="1" max="1" width="6" style="213" customWidth="1"/>
    <col min="2" max="2" width="22" style="213" customWidth="1"/>
    <col min="3" max="3" width="11.42578125" style="213" customWidth="1"/>
    <col min="4" max="4" width="11.42578125" style="232" customWidth="1"/>
    <col min="5" max="18" width="9.7109375" style="232" customWidth="1"/>
    <col min="19" max="19" width="9.140625" style="232" customWidth="1"/>
    <col min="20" max="22" width="9.140625" style="213" customWidth="1"/>
    <col min="23" max="16384" width="9.140625" style="213"/>
  </cols>
  <sheetData>
    <row r="3" spans="1:22">
      <c r="A3" s="234"/>
      <c r="B3" s="235"/>
      <c r="C3" s="234"/>
      <c r="D3" s="236"/>
      <c r="E3" s="236"/>
      <c r="F3" s="237"/>
      <c r="G3" s="237"/>
      <c r="H3" s="237"/>
      <c r="I3" s="237"/>
      <c r="J3" s="237"/>
      <c r="K3" s="237"/>
      <c r="L3" s="237"/>
      <c r="M3" s="237"/>
      <c r="N3" s="237"/>
      <c r="O3" s="237"/>
      <c r="P3" s="237"/>
      <c r="Q3" s="237"/>
      <c r="R3" s="238"/>
      <c r="S3" s="15"/>
      <c r="T3" s="15"/>
      <c r="U3" s="15"/>
      <c r="V3" s="15"/>
    </row>
    <row r="4" spans="1:22">
      <c r="A4" s="239"/>
      <c r="B4" s="240"/>
      <c r="C4" s="239"/>
      <c r="D4" s="241"/>
      <c r="E4" s="240"/>
      <c r="F4" s="240"/>
      <c r="G4" s="240"/>
      <c r="H4" s="240"/>
      <c r="I4" s="240"/>
      <c r="J4" s="242"/>
      <c r="K4" s="239"/>
      <c r="L4" s="240"/>
      <c r="M4" s="240"/>
      <c r="N4" s="240"/>
      <c r="O4" s="239"/>
      <c r="P4" s="239"/>
      <c r="Q4" s="240"/>
      <c r="R4" s="243"/>
      <c r="S4" s="15"/>
      <c r="T4" s="15"/>
      <c r="U4" s="15"/>
      <c r="V4" s="15"/>
    </row>
    <row r="5" spans="1:22">
      <c r="A5" s="234"/>
      <c r="B5" s="234"/>
      <c r="C5" s="234"/>
      <c r="D5" s="244"/>
      <c r="E5" s="244"/>
      <c r="F5" s="244"/>
      <c r="G5" s="244"/>
      <c r="H5" s="244"/>
      <c r="I5" s="244"/>
      <c r="J5" s="245"/>
      <c r="K5" s="234"/>
      <c r="L5" s="244"/>
      <c r="M5" s="244"/>
      <c r="N5" s="244"/>
      <c r="O5" s="246"/>
      <c r="P5" s="234"/>
      <c r="Q5" s="244"/>
      <c r="R5" s="247"/>
      <c r="S5" s="15"/>
      <c r="T5" s="15"/>
      <c r="U5" s="15"/>
      <c r="V5" s="15"/>
    </row>
    <row r="6" spans="1:22">
      <c r="A6" s="248"/>
      <c r="B6" s="234"/>
      <c r="C6" s="249"/>
      <c r="D6" s="250"/>
      <c r="E6" s="250"/>
      <c r="F6" s="250"/>
      <c r="G6" s="250"/>
      <c r="H6" s="250"/>
      <c r="I6" s="250"/>
      <c r="J6" s="251"/>
      <c r="K6" s="249"/>
      <c r="L6" s="250"/>
      <c r="M6" s="250"/>
      <c r="N6" s="250"/>
      <c r="O6" s="249"/>
      <c r="P6" s="249"/>
      <c r="Q6" s="250"/>
      <c r="R6" s="252"/>
      <c r="S6" s="15"/>
      <c r="T6" s="15"/>
      <c r="U6" s="15"/>
      <c r="V6" s="15"/>
    </row>
    <row r="7" spans="1:22">
      <c r="A7" s="253"/>
      <c r="B7" s="254"/>
      <c r="C7" s="255"/>
      <c r="D7" s="256"/>
      <c r="E7" s="256"/>
      <c r="F7" s="256"/>
      <c r="G7" s="256"/>
      <c r="H7" s="256"/>
      <c r="I7" s="256"/>
      <c r="J7" s="257"/>
      <c r="K7" s="255"/>
      <c r="L7" s="256"/>
      <c r="M7" s="256"/>
      <c r="N7" s="256"/>
      <c r="O7" s="255"/>
      <c r="P7" s="255"/>
      <c r="Q7" s="256"/>
      <c r="R7" s="258"/>
      <c r="S7" s="15"/>
      <c r="T7" s="15"/>
      <c r="U7" s="15"/>
      <c r="V7" s="15"/>
    </row>
    <row r="8" spans="1:22">
      <c r="A8" s="253"/>
      <c r="B8" s="317"/>
      <c r="C8" s="318"/>
      <c r="D8" s="319"/>
      <c r="E8" s="331"/>
      <c r="F8" s="319"/>
      <c r="G8" s="319"/>
      <c r="H8" s="319"/>
      <c r="I8" s="319"/>
      <c r="J8" s="320"/>
      <c r="K8" s="318"/>
      <c r="L8" s="331"/>
      <c r="M8" s="319"/>
      <c r="N8" s="319"/>
      <c r="O8" s="318"/>
      <c r="P8" s="321"/>
      <c r="Q8" s="331"/>
      <c r="R8" s="322"/>
      <c r="S8" s="15"/>
      <c r="T8" s="15"/>
      <c r="U8" s="15"/>
      <c r="V8" s="15"/>
    </row>
    <row r="9" spans="1:22">
      <c r="A9" s="253"/>
      <c r="B9" s="234"/>
      <c r="C9" s="249"/>
      <c r="D9" s="250"/>
      <c r="E9" s="250"/>
      <c r="F9" s="250"/>
      <c r="G9" s="250"/>
      <c r="H9" s="250"/>
      <c r="I9" s="250"/>
      <c r="J9" s="251"/>
      <c r="K9" s="249"/>
      <c r="L9" s="250"/>
      <c r="M9" s="250"/>
      <c r="N9" s="250"/>
      <c r="O9" s="249"/>
      <c r="P9" s="249"/>
      <c r="Q9" s="250"/>
      <c r="R9" s="252"/>
      <c r="S9" s="15"/>
      <c r="T9" s="15"/>
      <c r="U9" s="15"/>
      <c r="V9" s="15"/>
    </row>
    <row r="10" spans="1:22">
      <c r="A10" s="253"/>
      <c r="B10" s="254"/>
      <c r="C10" s="255"/>
      <c r="D10" s="256"/>
      <c r="E10" s="256"/>
      <c r="F10" s="256"/>
      <c r="G10" s="256"/>
      <c r="H10" s="256"/>
      <c r="I10" s="256"/>
      <c r="J10" s="257"/>
      <c r="K10" s="255"/>
      <c r="L10" s="256"/>
      <c r="M10" s="256"/>
      <c r="N10" s="256"/>
      <c r="O10" s="255"/>
      <c r="P10" s="255"/>
      <c r="Q10" s="256"/>
      <c r="R10" s="258"/>
      <c r="S10" s="15"/>
      <c r="T10" s="15"/>
      <c r="U10" s="15"/>
      <c r="V10" s="15"/>
    </row>
    <row r="11" spans="1:22">
      <c r="A11" s="253"/>
      <c r="B11" s="317"/>
      <c r="C11" s="318"/>
      <c r="D11" s="319"/>
      <c r="E11" s="319"/>
      <c r="F11" s="319"/>
      <c r="G11" s="319"/>
      <c r="H11" s="319"/>
      <c r="I11" s="319"/>
      <c r="J11" s="320"/>
      <c r="K11" s="318"/>
      <c r="L11" s="331"/>
      <c r="M11" s="319"/>
      <c r="N11" s="319"/>
      <c r="O11" s="318"/>
      <c r="P11" s="321"/>
      <c r="Q11" s="319"/>
      <c r="R11" s="322"/>
      <c r="S11" s="15"/>
      <c r="T11" s="15"/>
      <c r="U11" s="15"/>
      <c r="V11" s="15"/>
    </row>
    <row r="12" spans="1:22">
      <c r="A12" s="253"/>
      <c r="B12" s="234"/>
      <c r="C12" s="249"/>
      <c r="D12" s="250"/>
      <c r="E12" s="250"/>
      <c r="F12" s="250"/>
      <c r="G12" s="250"/>
      <c r="H12" s="250"/>
      <c r="I12" s="250"/>
      <c r="J12" s="251"/>
      <c r="K12" s="249"/>
      <c r="L12" s="250"/>
      <c r="M12" s="250"/>
      <c r="N12" s="250"/>
      <c r="O12" s="249"/>
      <c r="P12" s="249"/>
      <c r="Q12" s="250"/>
      <c r="R12" s="252"/>
      <c r="S12" s="15"/>
      <c r="T12" s="15"/>
      <c r="U12" s="15"/>
      <c r="V12" s="15"/>
    </row>
    <row r="13" spans="1:22">
      <c r="A13" s="253"/>
      <c r="B13" s="254"/>
      <c r="C13" s="255"/>
      <c r="D13" s="256"/>
      <c r="E13" s="256"/>
      <c r="F13" s="256"/>
      <c r="G13" s="256"/>
      <c r="H13" s="256"/>
      <c r="I13" s="256"/>
      <c r="J13" s="257"/>
      <c r="K13" s="255"/>
      <c r="L13" s="256"/>
      <c r="M13" s="256"/>
      <c r="N13" s="256"/>
      <c r="O13" s="255"/>
      <c r="P13" s="255"/>
      <c r="Q13" s="256"/>
      <c r="R13" s="258"/>
      <c r="S13" s="15"/>
      <c r="T13" s="15"/>
      <c r="U13" s="15"/>
      <c r="V13" s="15"/>
    </row>
    <row r="14" spans="1:22" s="259" customFormat="1">
      <c r="A14" s="253"/>
      <c r="B14" s="317"/>
      <c r="C14" s="318"/>
      <c r="D14" s="319"/>
      <c r="E14" s="331"/>
      <c r="F14" s="319"/>
      <c r="G14" s="319"/>
      <c r="H14" s="319"/>
      <c r="I14" s="319"/>
      <c r="J14" s="320"/>
      <c r="K14" s="318"/>
      <c r="L14" s="319"/>
      <c r="M14" s="319"/>
      <c r="N14" s="319"/>
      <c r="O14" s="318"/>
      <c r="P14" s="321"/>
      <c r="Q14" s="319"/>
      <c r="R14" s="322"/>
      <c r="S14" s="15"/>
      <c r="T14" s="15"/>
      <c r="U14" s="15"/>
      <c r="V14" s="15"/>
    </row>
    <row r="15" spans="1:22">
      <c r="A15" s="253"/>
      <c r="B15" s="234"/>
      <c r="C15" s="249"/>
      <c r="D15" s="250"/>
      <c r="E15" s="250"/>
      <c r="F15" s="250"/>
      <c r="G15" s="250"/>
      <c r="H15" s="250"/>
      <c r="I15" s="250"/>
      <c r="J15" s="251"/>
      <c r="K15" s="249"/>
      <c r="L15" s="250"/>
      <c r="M15" s="250"/>
      <c r="N15" s="250"/>
      <c r="O15" s="249"/>
      <c r="P15" s="249"/>
      <c r="Q15" s="250"/>
      <c r="R15" s="252"/>
      <c r="S15" s="15"/>
      <c r="T15" s="15"/>
      <c r="U15" s="15"/>
      <c r="V15" s="15"/>
    </row>
    <row r="16" spans="1:22">
      <c r="A16" s="253"/>
      <c r="B16" s="254"/>
      <c r="C16" s="255"/>
      <c r="D16" s="256"/>
      <c r="E16" s="256"/>
      <c r="F16" s="256"/>
      <c r="G16" s="256"/>
      <c r="H16" s="256"/>
      <c r="I16" s="256"/>
      <c r="J16" s="257"/>
      <c r="K16" s="255"/>
      <c r="L16" s="256"/>
      <c r="M16" s="256"/>
      <c r="N16" s="256"/>
      <c r="O16" s="255"/>
      <c r="P16" s="255"/>
      <c r="Q16" s="256"/>
      <c r="R16" s="258"/>
      <c r="S16" s="15"/>
      <c r="T16" s="15"/>
      <c r="U16" s="15"/>
      <c r="V16" s="15"/>
    </row>
    <row r="17" spans="1:22">
      <c r="A17" s="253"/>
      <c r="B17" s="317"/>
      <c r="C17" s="318"/>
      <c r="D17" s="319"/>
      <c r="E17" s="319"/>
      <c r="F17" s="319"/>
      <c r="G17" s="319"/>
      <c r="H17" s="319"/>
      <c r="I17" s="319"/>
      <c r="J17" s="320"/>
      <c r="K17" s="318"/>
      <c r="L17" s="319"/>
      <c r="M17" s="319"/>
      <c r="N17" s="319"/>
      <c r="O17" s="318"/>
      <c r="P17" s="321"/>
      <c r="Q17" s="319"/>
      <c r="R17" s="322"/>
      <c r="S17" s="15"/>
      <c r="T17" s="15"/>
      <c r="U17" s="15"/>
      <c r="V17" s="15"/>
    </row>
    <row r="18" spans="1:22">
      <c r="A18" s="253"/>
      <c r="B18" s="234"/>
      <c r="C18" s="249"/>
      <c r="D18" s="250"/>
      <c r="E18" s="250"/>
      <c r="F18" s="250"/>
      <c r="G18" s="250"/>
      <c r="H18" s="250"/>
      <c r="I18" s="250"/>
      <c r="J18" s="251"/>
      <c r="K18" s="249"/>
      <c r="L18" s="250"/>
      <c r="M18" s="250"/>
      <c r="N18" s="250"/>
      <c r="O18" s="249"/>
      <c r="P18" s="249"/>
      <c r="Q18" s="250"/>
      <c r="R18" s="252"/>
      <c r="S18" s="15"/>
      <c r="T18" s="15"/>
      <c r="U18" s="15"/>
      <c r="V18" s="15"/>
    </row>
    <row r="19" spans="1:22">
      <c r="A19" s="253"/>
      <c r="B19" s="254"/>
      <c r="C19" s="255"/>
      <c r="D19" s="256"/>
      <c r="E19" s="256"/>
      <c r="F19" s="256"/>
      <c r="G19" s="256"/>
      <c r="H19" s="256"/>
      <c r="I19" s="256"/>
      <c r="J19" s="257"/>
      <c r="K19" s="255"/>
      <c r="L19" s="256"/>
      <c r="M19" s="256"/>
      <c r="N19" s="256"/>
      <c r="O19" s="255"/>
      <c r="P19" s="255"/>
      <c r="Q19" s="256"/>
      <c r="R19" s="258"/>
      <c r="S19" s="15"/>
      <c r="T19" s="15"/>
      <c r="U19" s="15"/>
      <c r="V19" s="15"/>
    </row>
    <row r="20" spans="1:22">
      <c r="A20" s="253"/>
      <c r="B20" s="317"/>
      <c r="C20" s="318"/>
      <c r="D20" s="319"/>
      <c r="E20" s="319"/>
      <c r="F20" s="319"/>
      <c r="G20" s="319"/>
      <c r="H20" s="319"/>
      <c r="I20" s="319"/>
      <c r="J20" s="320"/>
      <c r="K20" s="318"/>
      <c r="L20" s="319"/>
      <c r="M20" s="319"/>
      <c r="N20" s="319"/>
      <c r="O20" s="318"/>
      <c r="P20" s="321"/>
      <c r="Q20" s="319"/>
      <c r="R20" s="322"/>
      <c r="S20" s="15"/>
      <c r="T20" s="15"/>
      <c r="U20" s="15"/>
      <c r="V20" s="15"/>
    </row>
    <row r="21" spans="1:22">
      <c r="A21" s="253"/>
      <c r="B21" s="234"/>
      <c r="C21" s="249"/>
      <c r="D21" s="250"/>
      <c r="E21" s="250"/>
      <c r="F21" s="250"/>
      <c r="G21" s="250"/>
      <c r="H21" s="250"/>
      <c r="I21" s="250"/>
      <c r="J21" s="251"/>
      <c r="K21" s="249"/>
      <c r="L21" s="250"/>
      <c r="M21" s="250"/>
      <c r="N21" s="250"/>
      <c r="O21" s="249"/>
      <c r="P21" s="249"/>
      <c r="Q21" s="250"/>
      <c r="R21" s="252"/>
      <c r="S21" s="15"/>
      <c r="T21" s="15"/>
      <c r="U21" s="15"/>
      <c r="V21" s="15"/>
    </row>
    <row r="22" spans="1:22">
      <c r="A22" s="253"/>
      <c r="B22" s="254"/>
      <c r="C22" s="255"/>
      <c r="D22" s="256"/>
      <c r="E22" s="256"/>
      <c r="F22" s="256"/>
      <c r="G22" s="256"/>
      <c r="H22" s="256"/>
      <c r="I22" s="256"/>
      <c r="J22" s="257"/>
      <c r="K22" s="255"/>
      <c r="L22" s="256"/>
      <c r="M22" s="256"/>
      <c r="N22" s="256"/>
      <c r="O22" s="255"/>
      <c r="P22" s="255"/>
      <c r="Q22" s="256"/>
      <c r="R22" s="258"/>
      <c r="S22" s="15"/>
      <c r="T22" s="15"/>
      <c r="U22" s="15"/>
      <c r="V22" s="15"/>
    </row>
    <row r="23" spans="1:22">
      <c r="A23" s="253"/>
      <c r="B23" s="317"/>
      <c r="C23" s="318"/>
      <c r="D23" s="319"/>
      <c r="E23" s="319"/>
      <c r="F23" s="319"/>
      <c r="G23" s="319"/>
      <c r="H23" s="319"/>
      <c r="I23" s="319"/>
      <c r="J23" s="320"/>
      <c r="K23" s="318"/>
      <c r="L23" s="319"/>
      <c r="M23" s="319"/>
      <c r="N23" s="319"/>
      <c r="O23" s="318"/>
      <c r="P23" s="321"/>
      <c r="Q23" s="319"/>
      <c r="R23" s="322"/>
      <c r="S23" s="15"/>
      <c r="T23" s="15"/>
      <c r="U23" s="15"/>
      <c r="V23" s="15"/>
    </row>
    <row r="24" spans="1:22">
      <c r="A24" s="253"/>
      <c r="B24" s="234"/>
      <c r="C24" s="249"/>
      <c r="D24" s="250"/>
      <c r="E24" s="250"/>
      <c r="F24" s="250"/>
      <c r="G24" s="250"/>
      <c r="H24" s="250"/>
      <c r="I24" s="250"/>
      <c r="J24" s="251"/>
      <c r="K24" s="249"/>
      <c r="L24" s="250"/>
      <c r="M24" s="250"/>
      <c r="N24" s="250"/>
      <c r="O24" s="249"/>
      <c r="P24" s="249"/>
      <c r="Q24" s="250"/>
      <c r="R24" s="252"/>
      <c r="S24" s="15"/>
      <c r="T24" s="15"/>
      <c r="U24" s="15"/>
      <c r="V24" s="15"/>
    </row>
    <row r="25" spans="1:22">
      <c r="A25" s="253"/>
      <c r="B25" s="254"/>
      <c r="C25" s="255"/>
      <c r="D25" s="256"/>
      <c r="E25" s="256"/>
      <c r="F25" s="256"/>
      <c r="G25" s="256"/>
      <c r="H25" s="256"/>
      <c r="I25" s="256"/>
      <c r="J25" s="257"/>
      <c r="K25" s="255"/>
      <c r="L25" s="256"/>
      <c r="M25" s="256"/>
      <c r="N25" s="256"/>
      <c r="O25" s="255"/>
      <c r="P25" s="255"/>
      <c r="Q25" s="256"/>
      <c r="R25" s="258"/>
      <c r="S25" s="15"/>
      <c r="T25" s="15"/>
      <c r="U25" s="15"/>
      <c r="V25" s="15"/>
    </row>
    <row r="26" spans="1:22">
      <c r="A26" s="253"/>
      <c r="B26" s="317"/>
      <c r="C26" s="318"/>
      <c r="D26" s="319"/>
      <c r="E26" s="331"/>
      <c r="F26" s="331"/>
      <c r="G26" s="319"/>
      <c r="H26" s="319"/>
      <c r="I26" s="319"/>
      <c r="J26" s="320"/>
      <c r="K26" s="318"/>
      <c r="L26" s="319"/>
      <c r="M26" s="319"/>
      <c r="N26" s="319"/>
      <c r="O26" s="318"/>
      <c r="P26" s="321"/>
      <c r="Q26" s="319"/>
      <c r="R26" s="322"/>
      <c r="S26" s="15"/>
      <c r="T26" s="15"/>
      <c r="U26" s="15"/>
      <c r="V26" s="15"/>
    </row>
    <row r="27" spans="1:22">
      <c r="A27" s="253"/>
      <c r="B27" s="234"/>
      <c r="C27" s="249"/>
      <c r="D27" s="250"/>
      <c r="E27" s="250"/>
      <c r="F27" s="250"/>
      <c r="G27" s="250"/>
      <c r="H27" s="250"/>
      <c r="I27" s="250"/>
      <c r="J27" s="251"/>
      <c r="K27" s="249"/>
      <c r="L27" s="250"/>
      <c r="M27" s="250"/>
      <c r="N27" s="250"/>
      <c r="O27" s="249"/>
      <c r="P27" s="249"/>
      <c r="Q27" s="250"/>
      <c r="R27" s="252"/>
      <c r="S27" s="15"/>
      <c r="T27" s="15"/>
      <c r="U27" s="15"/>
      <c r="V27" s="15"/>
    </row>
    <row r="28" spans="1:22">
      <c r="A28" s="253"/>
      <c r="B28" s="254"/>
      <c r="C28" s="255"/>
      <c r="D28" s="256"/>
      <c r="E28" s="256"/>
      <c r="F28" s="256"/>
      <c r="G28" s="256"/>
      <c r="H28" s="256"/>
      <c r="I28" s="256"/>
      <c r="J28" s="257"/>
      <c r="K28" s="255"/>
      <c r="L28" s="256"/>
      <c r="M28" s="256"/>
      <c r="N28" s="256"/>
      <c r="O28" s="255"/>
      <c r="P28" s="255"/>
      <c r="Q28" s="256"/>
      <c r="R28" s="258"/>
      <c r="S28" s="15"/>
      <c r="T28" s="15"/>
      <c r="U28" s="15"/>
      <c r="V28" s="15"/>
    </row>
    <row r="29" spans="1:22">
      <c r="A29" s="253"/>
      <c r="B29" s="317"/>
      <c r="C29" s="318"/>
      <c r="D29" s="319"/>
      <c r="E29" s="319"/>
      <c r="F29" s="331"/>
      <c r="G29" s="319"/>
      <c r="H29" s="319"/>
      <c r="I29" s="319"/>
      <c r="J29" s="320"/>
      <c r="K29" s="318"/>
      <c r="L29" s="319"/>
      <c r="M29" s="319"/>
      <c r="N29" s="319"/>
      <c r="O29" s="318"/>
      <c r="P29" s="321"/>
      <c r="Q29" s="319"/>
      <c r="R29" s="322"/>
      <c r="S29" s="15"/>
      <c r="T29" s="15"/>
      <c r="U29" s="15"/>
      <c r="V29" s="15"/>
    </row>
    <row r="30" spans="1:22">
      <c r="A30" s="253"/>
      <c r="B30" s="234"/>
      <c r="C30" s="249"/>
      <c r="D30" s="250"/>
      <c r="E30" s="250"/>
      <c r="F30" s="250"/>
      <c r="G30" s="250"/>
      <c r="H30" s="250"/>
      <c r="I30" s="250"/>
      <c r="J30" s="251"/>
      <c r="K30" s="249"/>
      <c r="L30" s="250"/>
      <c r="M30" s="250"/>
      <c r="N30" s="250"/>
      <c r="O30" s="249"/>
      <c r="P30" s="249"/>
      <c r="Q30" s="250"/>
      <c r="R30" s="252"/>
      <c r="S30" s="15"/>
      <c r="T30" s="15"/>
      <c r="U30" s="15"/>
      <c r="V30" s="15"/>
    </row>
    <row r="31" spans="1:22">
      <c r="A31" s="253"/>
      <c r="B31" s="254"/>
      <c r="C31" s="255"/>
      <c r="D31" s="256"/>
      <c r="E31" s="256"/>
      <c r="F31" s="256"/>
      <c r="G31" s="256"/>
      <c r="H31" s="256"/>
      <c r="I31" s="256"/>
      <c r="J31" s="257"/>
      <c r="K31" s="255"/>
      <c r="L31" s="256"/>
      <c r="M31" s="256"/>
      <c r="N31" s="256"/>
      <c r="O31" s="255"/>
      <c r="P31" s="255"/>
      <c r="Q31" s="256"/>
      <c r="R31" s="258"/>
      <c r="S31" s="15"/>
      <c r="T31" s="15"/>
      <c r="U31" s="15"/>
      <c r="V31" s="15"/>
    </row>
    <row r="32" spans="1:22">
      <c r="A32" s="253"/>
      <c r="B32" s="317"/>
      <c r="C32" s="318"/>
      <c r="D32" s="319"/>
      <c r="E32" s="331"/>
      <c r="F32" s="331"/>
      <c r="G32" s="319"/>
      <c r="H32" s="319"/>
      <c r="I32" s="319"/>
      <c r="J32" s="320"/>
      <c r="K32" s="318"/>
      <c r="L32" s="319"/>
      <c r="M32" s="319"/>
      <c r="N32" s="319"/>
      <c r="O32" s="318"/>
      <c r="P32" s="321"/>
      <c r="Q32" s="319"/>
      <c r="R32" s="322"/>
      <c r="S32" s="15"/>
      <c r="T32" s="15"/>
      <c r="U32" s="15"/>
      <c r="V32" s="15"/>
    </row>
    <row r="33" spans="1:22">
      <c r="A33" s="253"/>
      <c r="B33" s="234"/>
      <c r="C33" s="249"/>
      <c r="D33" s="250"/>
      <c r="E33" s="250"/>
      <c r="F33" s="250"/>
      <c r="G33" s="250"/>
      <c r="H33" s="250"/>
      <c r="I33" s="250"/>
      <c r="J33" s="251"/>
      <c r="K33" s="249"/>
      <c r="L33" s="250"/>
      <c r="M33" s="250"/>
      <c r="N33" s="250"/>
      <c r="O33" s="249"/>
      <c r="P33" s="249"/>
      <c r="Q33" s="250"/>
      <c r="R33" s="252"/>
      <c r="S33" s="15"/>
      <c r="T33" s="15"/>
      <c r="U33" s="15"/>
      <c r="V33" s="15"/>
    </row>
    <row r="34" spans="1:22">
      <c r="A34" s="253"/>
      <c r="B34" s="254"/>
      <c r="C34" s="255"/>
      <c r="D34" s="256"/>
      <c r="E34" s="256"/>
      <c r="F34" s="256"/>
      <c r="G34" s="256"/>
      <c r="H34" s="256"/>
      <c r="I34" s="256"/>
      <c r="J34" s="257"/>
      <c r="K34" s="255"/>
      <c r="L34" s="256"/>
      <c r="M34" s="256"/>
      <c r="N34" s="256"/>
      <c r="O34" s="255"/>
      <c r="P34" s="255"/>
      <c r="Q34" s="256"/>
      <c r="R34" s="258"/>
      <c r="S34" s="15"/>
      <c r="T34" s="15"/>
      <c r="U34" s="15"/>
      <c r="V34" s="15"/>
    </row>
    <row r="35" spans="1:22">
      <c r="A35" s="253"/>
      <c r="B35" s="317"/>
      <c r="C35" s="318"/>
      <c r="D35" s="319"/>
      <c r="E35" s="319"/>
      <c r="F35" s="319"/>
      <c r="G35" s="319"/>
      <c r="H35" s="319"/>
      <c r="I35" s="319"/>
      <c r="J35" s="320"/>
      <c r="K35" s="318"/>
      <c r="L35" s="319"/>
      <c r="M35" s="319"/>
      <c r="N35" s="319"/>
      <c r="O35" s="318"/>
      <c r="P35" s="321"/>
      <c r="Q35" s="319"/>
      <c r="R35" s="322"/>
      <c r="S35" s="15"/>
      <c r="T35" s="15"/>
      <c r="U35" s="15"/>
      <c r="V35" s="15"/>
    </row>
    <row r="36" spans="1:22">
      <c r="A36" s="253"/>
      <c r="B36" s="234"/>
      <c r="C36" s="249"/>
      <c r="D36" s="250"/>
      <c r="E36" s="250"/>
      <c r="F36" s="250"/>
      <c r="G36" s="250"/>
      <c r="H36" s="250"/>
      <c r="I36" s="250"/>
      <c r="J36" s="251"/>
      <c r="K36" s="249"/>
      <c r="L36" s="250"/>
      <c r="M36" s="250"/>
      <c r="N36" s="250"/>
      <c r="O36" s="249"/>
      <c r="P36" s="249"/>
      <c r="Q36" s="250"/>
      <c r="R36" s="252"/>
      <c r="S36" s="15"/>
      <c r="T36" s="15"/>
      <c r="U36" s="15"/>
      <c r="V36" s="15"/>
    </row>
    <row r="37" spans="1:22">
      <c r="A37" s="253"/>
      <c r="B37" s="254"/>
      <c r="C37" s="255"/>
      <c r="D37" s="256"/>
      <c r="E37" s="256"/>
      <c r="F37" s="256"/>
      <c r="G37" s="256"/>
      <c r="H37" s="256"/>
      <c r="I37" s="256"/>
      <c r="J37" s="257"/>
      <c r="K37" s="255"/>
      <c r="L37" s="256"/>
      <c r="M37" s="256"/>
      <c r="N37" s="256"/>
      <c r="O37" s="255"/>
      <c r="P37" s="255"/>
      <c r="Q37" s="256"/>
      <c r="R37" s="258"/>
      <c r="S37" s="15"/>
      <c r="T37" s="15"/>
      <c r="U37" s="15"/>
      <c r="V37" s="15"/>
    </row>
    <row r="38" spans="1:22">
      <c r="A38" s="253"/>
      <c r="B38" s="317"/>
      <c r="C38" s="318"/>
      <c r="D38" s="319"/>
      <c r="E38" s="319"/>
      <c r="F38" s="319"/>
      <c r="G38" s="319"/>
      <c r="H38" s="319"/>
      <c r="I38" s="319"/>
      <c r="J38" s="320"/>
      <c r="K38" s="318"/>
      <c r="L38" s="319"/>
      <c r="M38" s="319"/>
      <c r="N38" s="319"/>
      <c r="O38" s="318"/>
      <c r="P38" s="321"/>
      <c r="Q38" s="319"/>
      <c r="R38" s="322"/>
      <c r="S38" s="15"/>
      <c r="T38" s="15"/>
      <c r="U38" s="15"/>
      <c r="V38" s="15"/>
    </row>
    <row r="39" spans="1:22">
      <c r="A39" s="253"/>
      <c r="B39" s="234"/>
      <c r="C39" s="249"/>
      <c r="D39" s="250"/>
      <c r="E39" s="250"/>
      <c r="F39" s="250"/>
      <c r="G39" s="250"/>
      <c r="H39" s="250"/>
      <c r="I39" s="250"/>
      <c r="J39" s="251"/>
      <c r="K39" s="249"/>
      <c r="L39" s="250"/>
      <c r="M39" s="250"/>
      <c r="N39" s="250"/>
      <c r="O39" s="249"/>
      <c r="P39" s="249"/>
      <c r="Q39" s="250"/>
      <c r="R39" s="252"/>
      <c r="S39" s="15"/>
      <c r="T39" s="15"/>
      <c r="U39" s="15"/>
      <c r="V39" s="15"/>
    </row>
    <row r="40" spans="1:22">
      <c r="A40" s="253"/>
      <c r="B40" s="254"/>
      <c r="C40" s="255"/>
      <c r="D40" s="256"/>
      <c r="E40" s="256"/>
      <c r="F40" s="256"/>
      <c r="G40" s="256"/>
      <c r="H40" s="256"/>
      <c r="I40" s="256"/>
      <c r="J40" s="257"/>
      <c r="K40" s="255"/>
      <c r="L40" s="256"/>
      <c r="M40" s="256"/>
      <c r="N40" s="256"/>
      <c r="O40" s="255"/>
      <c r="P40" s="255"/>
      <c r="Q40" s="256"/>
      <c r="R40" s="258"/>
      <c r="S40" s="15"/>
      <c r="T40" s="15"/>
      <c r="U40" s="15"/>
      <c r="V40" s="15"/>
    </row>
    <row r="41" spans="1:22">
      <c r="A41" s="260"/>
      <c r="B41" s="317"/>
      <c r="C41" s="318"/>
      <c r="D41" s="319"/>
      <c r="E41" s="319"/>
      <c r="F41" s="319"/>
      <c r="G41" s="319"/>
      <c r="H41" s="319"/>
      <c r="I41" s="319"/>
      <c r="J41" s="320"/>
      <c r="K41" s="318"/>
      <c r="L41" s="319"/>
      <c r="M41" s="319"/>
      <c r="N41" s="319"/>
      <c r="O41" s="318"/>
      <c r="P41" s="321"/>
      <c r="Q41" s="319"/>
      <c r="R41" s="322"/>
      <c r="S41" s="15"/>
      <c r="T41" s="15"/>
      <c r="U41" s="15"/>
      <c r="V41" s="15"/>
    </row>
    <row r="42" spans="1:22">
      <c r="A42" s="248"/>
      <c r="B42" s="234"/>
      <c r="C42" s="249"/>
      <c r="D42" s="250"/>
      <c r="E42" s="250"/>
      <c r="F42" s="250"/>
      <c r="G42" s="250"/>
      <c r="H42" s="250"/>
      <c r="I42" s="250"/>
      <c r="J42" s="251"/>
      <c r="K42" s="249"/>
      <c r="L42" s="250"/>
      <c r="M42" s="250"/>
      <c r="N42" s="250"/>
      <c r="O42" s="249"/>
      <c r="P42" s="249"/>
      <c r="Q42" s="250"/>
      <c r="R42" s="252"/>
      <c r="S42" s="15"/>
      <c r="T42" s="15"/>
      <c r="U42" s="15"/>
      <c r="V42" s="15"/>
    </row>
    <row r="43" spans="1:22">
      <c r="A43" s="253"/>
      <c r="B43" s="254"/>
      <c r="C43" s="255"/>
      <c r="D43" s="256"/>
      <c r="E43" s="256"/>
      <c r="F43" s="256"/>
      <c r="G43" s="256"/>
      <c r="H43" s="256"/>
      <c r="I43" s="256"/>
      <c r="J43" s="257"/>
      <c r="K43" s="255"/>
      <c r="L43" s="256"/>
      <c r="M43" s="256"/>
      <c r="N43" s="256"/>
      <c r="O43" s="255"/>
      <c r="P43" s="255"/>
      <c r="Q43" s="256"/>
      <c r="R43" s="258"/>
      <c r="S43" s="15"/>
      <c r="T43" s="15"/>
      <c r="U43" s="15"/>
      <c r="V43" s="15"/>
    </row>
    <row r="44" spans="1:22">
      <c r="A44" s="253"/>
      <c r="B44" s="317"/>
      <c r="C44" s="318"/>
      <c r="D44" s="319"/>
      <c r="E44" s="319"/>
      <c r="F44" s="319"/>
      <c r="G44" s="319"/>
      <c r="H44" s="319"/>
      <c r="I44" s="319"/>
      <c r="J44" s="320"/>
      <c r="K44" s="318"/>
      <c r="L44" s="319"/>
      <c r="M44" s="319"/>
      <c r="N44" s="319"/>
      <c r="O44" s="318"/>
      <c r="P44" s="321"/>
      <c r="Q44" s="319"/>
      <c r="R44" s="322"/>
      <c r="S44" s="15"/>
      <c r="T44" s="15"/>
      <c r="U44" s="15"/>
      <c r="V44" s="15"/>
    </row>
    <row r="45" spans="1:22">
      <c r="A45" s="253"/>
      <c r="B45" s="234"/>
      <c r="C45" s="249"/>
      <c r="D45" s="250"/>
      <c r="E45" s="250"/>
      <c r="F45" s="250"/>
      <c r="G45" s="250"/>
      <c r="H45" s="250"/>
      <c r="I45" s="250"/>
      <c r="J45" s="251"/>
      <c r="K45" s="249"/>
      <c r="L45" s="250"/>
      <c r="M45" s="250"/>
      <c r="N45" s="250"/>
      <c r="O45" s="249"/>
      <c r="P45" s="249"/>
      <c r="Q45" s="250"/>
      <c r="R45" s="252"/>
      <c r="S45" s="15"/>
      <c r="T45" s="15"/>
      <c r="U45" s="15"/>
      <c r="V45" s="15"/>
    </row>
    <row r="46" spans="1:22">
      <c r="A46" s="253"/>
      <c r="B46" s="254"/>
      <c r="C46" s="255"/>
      <c r="D46" s="256"/>
      <c r="E46" s="256"/>
      <c r="F46" s="256"/>
      <c r="G46" s="256"/>
      <c r="H46" s="256"/>
      <c r="I46" s="256"/>
      <c r="J46" s="257"/>
      <c r="K46" s="255"/>
      <c r="L46" s="256"/>
      <c r="M46" s="256"/>
      <c r="N46" s="256"/>
      <c r="O46" s="255"/>
      <c r="P46" s="255"/>
      <c r="Q46" s="256"/>
      <c r="R46" s="258"/>
      <c r="S46" s="15"/>
      <c r="T46" s="15"/>
      <c r="U46" s="15"/>
      <c r="V46" s="15"/>
    </row>
    <row r="47" spans="1:22">
      <c r="A47" s="253"/>
      <c r="B47" s="317"/>
      <c r="C47" s="318"/>
      <c r="D47" s="319"/>
      <c r="E47" s="319"/>
      <c r="F47" s="319"/>
      <c r="G47" s="319"/>
      <c r="H47" s="319"/>
      <c r="I47" s="319"/>
      <c r="J47" s="320"/>
      <c r="K47" s="318"/>
      <c r="L47" s="319"/>
      <c r="M47" s="319"/>
      <c r="N47" s="319"/>
      <c r="O47" s="318"/>
      <c r="P47" s="321"/>
      <c r="Q47" s="319"/>
      <c r="R47" s="322"/>
      <c r="S47" s="15"/>
      <c r="T47" s="15"/>
      <c r="U47" s="15"/>
      <c r="V47" s="15"/>
    </row>
    <row r="48" spans="1:22">
      <c r="A48" s="253"/>
      <c r="B48" s="234"/>
      <c r="C48" s="249"/>
      <c r="D48" s="250"/>
      <c r="E48" s="250"/>
      <c r="F48" s="250"/>
      <c r="G48" s="250"/>
      <c r="H48" s="250"/>
      <c r="I48" s="250"/>
      <c r="J48" s="251"/>
      <c r="K48" s="249"/>
      <c r="L48" s="250"/>
      <c r="M48" s="250"/>
      <c r="N48" s="250"/>
      <c r="O48" s="249"/>
      <c r="P48" s="249"/>
      <c r="Q48" s="250"/>
      <c r="R48" s="252"/>
      <c r="S48" s="15"/>
      <c r="T48" s="15"/>
      <c r="U48" s="15"/>
      <c r="V48" s="15"/>
    </row>
    <row r="49" spans="1:22">
      <c r="A49" s="253"/>
      <c r="B49" s="254"/>
      <c r="C49" s="255"/>
      <c r="D49" s="256"/>
      <c r="E49" s="256"/>
      <c r="F49" s="256"/>
      <c r="G49" s="256"/>
      <c r="H49" s="256"/>
      <c r="I49" s="256"/>
      <c r="J49" s="257"/>
      <c r="K49" s="255"/>
      <c r="L49" s="256"/>
      <c r="M49" s="256"/>
      <c r="N49" s="256"/>
      <c r="O49" s="255"/>
      <c r="P49" s="255"/>
      <c r="Q49" s="256"/>
      <c r="R49" s="258"/>
      <c r="S49" s="15"/>
      <c r="T49" s="15"/>
      <c r="U49" s="15"/>
      <c r="V49" s="15"/>
    </row>
    <row r="50" spans="1:22">
      <c r="A50" s="253"/>
      <c r="B50" s="317"/>
      <c r="C50" s="318"/>
      <c r="D50" s="319"/>
      <c r="E50" s="319"/>
      <c r="F50" s="319"/>
      <c r="G50" s="319"/>
      <c r="H50" s="319"/>
      <c r="I50" s="319"/>
      <c r="J50" s="320"/>
      <c r="K50" s="318"/>
      <c r="L50" s="319"/>
      <c r="M50" s="319"/>
      <c r="N50" s="319"/>
      <c r="O50" s="318"/>
      <c r="P50" s="321"/>
      <c r="Q50" s="319"/>
      <c r="R50" s="322"/>
      <c r="S50" s="15"/>
      <c r="T50" s="15"/>
      <c r="U50" s="15"/>
      <c r="V50" s="15"/>
    </row>
    <row r="51" spans="1:22">
      <c r="A51" s="253"/>
      <c r="B51" s="234"/>
      <c r="C51" s="249"/>
      <c r="D51" s="250"/>
      <c r="E51" s="250"/>
      <c r="F51" s="250"/>
      <c r="G51" s="250"/>
      <c r="H51" s="250"/>
      <c r="I51" s="250"/>
      <c r="J51" s="251"/>
      <c r="K51" s="249"/>
      <c r="L51" s="250"/>
      <c r="M51" s="250"/>
      <c r="N51" s="250"/>
      <c r="O51" s="249"/>
      <c r="P51" s="249"/>
      <c r="Q51" s="250"/>
      <c r="R51" s="252"/>
      <c r="S51" s="15"/>
      <c r="T51" s="15"/>
      <c r="U51" s="15"/>
      <c r="V51" s="15"/>
    </row>
    <row r="52" spans="1:22">
      <c r="A52" s="253"/>
      <c r="B52" s="254"/>
      <c r="C52" s="255"/>
      <c r="D52" s="256"/>
      <c r="E52" s="256"/>
      <c r="F52" s="256"/>
      <c r="G52" s="256"/>
      <c r="H52" s="256"/>
      <c r="I52" s="256"/>
      <c r="J52" s="257"/>
      <c r="K52" s="255"/>
      <c r="L52" s="256"/>
      <c r="M52" s="256"/>
      <c r="N52" s="256"/>
      <c r="O52" s="255"/>
      <c r="P52" s="255"/>
      <c r="Q52" s="256"/>
      <c r="R52" s="258"/>
      <c r="S52" s="15"/>
      <c r="T52" s="15"/>
      <c r="U52" s="15"/>
      <c r="V52" s="15"/>
    </row>
    <row r="53" spans="1:22">
      <c r="A53" s="253"/>
      <c r="B53" s="317"/>
      <c r="C53" s="318"/>
      <c r="D53" s="319"/>
      <c r="E53" s="319"/>
      <c r="F53" s="319"/>
      <c r="G53" s="319"/>
      <c r="H53" s="319"/>
      <c r="I53" s="319"/>
      <c r="J53" s="320"/>
      <c r="K53" s="318"/>
      <c r="L53" s="319"/>
      <c r="M53" s="319"/>
      <c r="N53" s="319"/>
      <c r="O53" s="318"/>
      <c r="P53" s="321"/>
      <c r="Q53" s="319"/>
      <c r="R53" s="322"/>
      <c r="S53" s="15"/>
      <c r="T53" s="15"/>
      <c r="U53" s="15"/>
      <c r="V53" s="15"/>
    </row>
    <row r="54" spans="1:22">
      <c r="A54" s="253"/>
      <c r="B54" s="234"/>
      <c r="C54" s="249"/>
      <c r="D54" s="250"/>
      <c r="E54" s="250"/>
      <c r="F54" s="250"/>
      <c r="G54" s="250"/>
      <c r="H54" s="250"/>
      <c r="I54" s="250"/>
      <c r="J54" s="251"/>
      <c r="K54" s="249"/>
      <c r="L54" s="250"/>
      <c r="M54" s="250"/>
      <c r="N54" s="250"/>
      <c r="O54" s="249"/>
      <c r="P54" s="249"/>
      <c r="Q54" s="250"/>
      <c r="R54" s="252"/>
      <c r="S54" s="15"/>
      <c r="T54" s="15"/>
      <c r="U54" s="15"/>
      <c r="V54" s="15"/>
    </row>
    <row r="55" spans="1:22">
      <c r="A55" s="253"/>
      <c r="B55" s="254"/>
      <c r="C55" s="255"/>
      <c r="D55" s="256"/>
      <c r="E55" s="256"/>
      <c r="F55" s="256"/>
      <c r="G55" s="256"/>
      <c r="H55" s="256"/>
      <c r="I55" s="256"/>
      <c r="J55" s="257"/>
      <c r="K55" s="255"/>
      <c r="L55" s="256"/>
      <c r="M55" s="256"/>
      <c r="N55" s="256"/>
      <c r="O55" s="255"/>
      <c r="P55" s="255"/>
      <c r="Q55" s="256"/>
      <c r="R55" s="258"/>
      <c r="S55" s="15"/>
      <c r="T55" s="15"/>
      <c r="U55" s="15"/>
      <c r="V55" s="15"/>
    </row>
    <row r="56" spans="1:22">
      <c r="A56" s="253"/>
      <c r="B56" s="317"/>
      <c r="C56" s="318"/>
      <c r="D56" s="319"/>
      <c r="E56" s="319"/>
      <c r="F56" s="319"/>
      <c r="G56" s="319"/>
      <c r="H56" s="319"/>
      <c r="I56" s="319"/>
      <c r="J56" s="320"/>
      <c r="K56" s="318"/>
      <c r="L56" s="319"/>
      <c r="M56" s="319"/>
      <c r="N56" s="319"/>
      <c r="O56" s="318"/>
      <c r="P56" s="321"/>
      <c r="Q56" s="319"/>
      <c r="R56" s="322"/>
      <c r="S56" s="15"/>
      <c r="T56" s="15"/>
      <c r="U56" s="15"/>
      <c r="V56" s="15"/>
    </row>
    <row r="57" spans="1:22">
      <c r="A57" s="253"/>
      <c r="B57" s="234"/>
      <c r="C57" s="249"/>
      <c r="D57" s="250"/>
      <c r="E57" s="250"/>
      <c r="F57" s="250"/>
      <c r="G57" s="250"/>
      <c r="H57" s="250"/>
      <c r="I57" s="250"/>
      <c r="J57" s="251"/>
      <c r="K57" s="249"/>
      <c r="L57" s="250"/>
      <c r="M57" s="250"/>
      <c r="N57" s="250"/>
      <c r="O57" s="249"/>
      <c r="P57" s="249"/>
      <c r="Q57" s="250"/>
      <c r="R57" s="252"/>
      <c r="S57" s="15"/>
      <c r="T57" s="15"/>
      <c r="U57" s="15"/>
      <c r="V57" s="15"/>
    </row>
    <row r="58" spans="1:22">
      <c r="A58" s="253"/>
      <c r="B58" s="254"/>
      <c r="C58" s="255"/>
      <c r="D58" s="256"/>
      <c r="E58" s="256"/>
      <c r="F58" s="256"/>
      <c r="G58" s="256"/>
      <c r="H58" s="256"/>
      <c r="I58" s="256"/>
      <c r="J58" s="257"/>
      <c r="K58" s="255"/>
      <c r="L58" s="256"/>
      <c r="M58" s="256"/>
      <c r="N58" s="256"/>
      <c r="O58" s="255"/>
      <c r="P58" s="255"/>
      <c r="Q58" s="256"/>
      <c r="R58" s="258"/>
      <c r="S58" s="15"/>
      <c r="T58" s="15"/>
      <c r="U58" s="15"/>
      <c r="V58" s="15"/>
    </row>
    <row r="59" spans="1:22">
      <c r="A59" s="253"/>
      <c r="B59" s="317"/>
      <c r="C59" s="318"/>
      <c r="D59" s="319"/>
      <c r="E59" s="319"/>
      <c r="F59" s="319"/>
      <c r="G59" s="319"/>
      <c r="H59" s="319"/>
      <c r="I59" s="319"/>
      <c r="J59" s="320"/>
      <c r="K59" s="318"/>
      <c r="L59" s="319"/>
      <c r="M59" s="319"/>
      <c r="N59" s="319"/>
      <c r="O59" s="318"/>
      <c r="P59" s="321"/>
      <c r="Q59" s="319"/>
      <c r="R59" s="322"/>
      <c r="S59" s="15"/>
      <c r="T59" s="15"/>
      <c r="U59" s="15"/>
      <c r="V59" s="15"/>
    </row>
    <row r="60" spans="1:22">
      <c r="A60" s="253"/>
      <c r="B60" s="234"/>
      <c r="C60" s="249"/>
      <c r="D60" s="250"/>
      <c r="E60" s="250"/>
      <c r="F60" s="250"/>
      <c r="G60" s="250"/>
      <c r="H60" s="250"/>
      <c r="I60" s="250"/>
      <c r="J60" s="251"/>
      <c r="K60" s="249"/>
      <c r="L60" s="250"/>
      <c r="M60" s="250"/>
      <c r="N60" s="250"/>
      <c r="O60" s="249"/>
      <c r="P60" s="249"/>
      <c r="Q60" s="250"/>
      <c r="R60" s="252"/>
      <c r="S60" s="15"/>
      <c r="T60" s="15"/>
      <c r="U60" s="15"/>
      <c r="V60" s="15"/>
    </row>
    <row r="61" spans="1:22">
      <c r="A61" s="253"/>
      <c r="B61" s="254"/>
      <c r="C61" s="255"/>
      <c r="D61" s="256"/>
      <c r="E61" s="256"/>
      <c r="F61" s="256"/>
      <c r="G61" s="256"/>
      <c r="H61" s="256"/>
      <c r="I61" s="256"/>
      <c r="J61" s="257"/>
      <c r="K61" s="255"/>
      <c r="L61" s="256"/>
      <c r="M61" s="256"/>
      <c r="N61" s="256"/>
      <c r="O61" s="255"/>
      <c r="P61" s="255"/>
      <c r="Q61" s="256"/>
      <c r="R61" s="258"/>
      <c r="S61" s="15"/>
      <c r="T61" s="15"/>
      <c r="U61" s="15"/>
      <c r="V61" s="15"/>
    </row>
    <row r="62" spans="1:22">
      <c r="A62" s="253"/>
      <c r="B62" s="317"/>
      <c r="C62" s="318"/>
      <c r="D62" s="319"/>
      <c r="E62" s="319"/>
      <c r="F62" s="319"/>
      <c r="G62" s="319"/>
      <c r="H62" s="331"/>
      <c r="I62" s="319"/>
      <c r="J62" s="320"/>
      <c r="K62" s="318"/>
      <c r="L62" s="319"/>
      <c r="M62" s="319"/>
      <c r="N62" s="319"/>
      <c r="O62" s="318"/>
      <c r="P62" s="321"/>
      <c r="Q62" s="319"/>
      <c r="R62" s="322"/>
      <c r="S62" s="15"/>
      <c r="T62" s="15"/>
      <c r="U62" s="15"/>
      <c r="V62" s="15"/>
    </row>
    <row r="63" spans="1:22">
      <c r="A63" s="253"/>
      <c r="B63" s="234"/>
      <c r="C63" s="249"/>
      <c r="D63" s="250"/>
      <c r="E63" s="250"/>
      <c r="F63" s="250"/>
      <c r="G63" s="250"/>
      <c r="H63" s="250"/>
      <c r="I63" s="250"/>
      <c r="J63" s="251"/>
      <c r="K63" s="249"/>
      <c r="L63" s="250"/>
      <c r="M63" s="250"/>
      <c r="N63" s="250"/>
      <c r="O63" s="249"/>
      <c r="P63" s="249"/>
      <c r="Q63" s="250"/>
      <c r="R63" s="252"/>
      <c r="S63" s="15"/>
      <c r="T63" s="15"/>
      <c r="U63" s="15"/>
      <c r="V63" s="15"/>
    </row>
    <row r="64" spans="1:22">
      <c r="A64" s="253"/>
      <c r="B64" s="254"/>
      <c r="C64" s="255"/>
      <c r="D64" s="256"/>
      <c r="E64" s="256"/>
      <c r="F64" s="256"/>
      <c r="G64" s="256"/>
      <c r="H64" s="256"/>
      <c r="I64" s="256"/>
      <c r="J64" s="257"/>
      <c r="K64" s="255"/>
      <c r="L64" s="256"/>
      <c r="M64" s="256"/>
      <c r="N64" s="256"/>
      <c r="O64" s="255"/>
      <c r="P64" s="255"/>
      <c r="Q64" s="256"/>
      <c r="R64" s="258"/>
      <c r="S64" s="15"/>
      <c r="T64" s="15"/>
      <c r="U64" s="15"/>
      <c r="V64" s="15"/>
    </row>
    <row r="65" spans="1:23">
      <c r="A65" s="253"/>
      <c r="B65" s="317"/>
      <c r="C65" s="318"/>
      <c r="D65" s="319"/>
      <c r="E65" s="319"/>
      <c r="F65" s="319"/>
      <c r="G65" s="319"/>
      <c r="H65" s="319"/>
      <c r="I65" s="319"/>
      <c r="J65" s="320"/>
      <c r="K65" s="318"/>
      <c r="L65" s="319"/>
      <c r="M65" s="319"/>
      <c r="N65" s="319"/>
      <c r="O65" s="318"/>
      <c r="P65" s="321"/>
      <c r="Q65" s="319"/>
      <c r="R65" s="322"/>
      <c r="S65" s="15"/>
      <c r="T65" s="15"/>
      <c r="U65" s="15"/>
      <c r="V65" s="15"/>
    </row>
    <row r="66" spans="1:23">
      <c r="A66" s="253"/>
      <c r="B66" s="234"/>
      <c r="C66" s="249"/>
      <c r="D66" s="250"/>
      <c r="E66" s="250"/>
      <c r="F66" s="250"/>
      <c r="G66" s="250"/>
      <c r="H66" s="622"/>
      <c r="I66" s="250"/>
      <c r="J66" s="251"/>
      <c r="K66" s="249"/>
      <c r="L66" s="250"/>
      <c r="M66" s="250"/>
      <c r="N66" s="250"/>
      <c r="O66" s="249"/>
      <c r="P66" s="249"/>
      <c r="Q66" s="250"/>
      <c r="R66" s="252"/>
      <c r="S66" s="15"/>
      <c r="T66" s="15"/>
      <c r="U66" s="15"/>
      <c r="V66" s="15"/>
    </row>
    <row r="67" spans="1:23">
      <c r="A67" s="253"/>
      <c r="B67" s="254"/>
      <c r="C67" s="255"/>
      <c r="D67" s="256"/>
      <c r="E67" s="256"/>
      <c r="F67" s="256"/>
      <c r="G67" s="256"/>
      <c r="H67" s="256"/>
      <c r="I67" s="256"/>
      <c r="J67" s="257"/>
      <c r="K67" s="255"/>
      <c r="L67" s="256"/>
      <c r="M67" s="256"/>
      <c r="N67" s="256"/>
      <c r="O67" s="255"/>
      <c r="P67" s="255"/>
      <c r="Q67" s="256"/>
      <c r="R67" s="258"/>
      <c r="S67" s="15"/>
      <c r="T67" s="15"/>
      <c r="U67" s="15"/>
      <c r="V67" s="15"/>
    </row>
    <row r="68" spans="1:23">
      <c r="A68" s="253"/>
      <c r="B68" s="317"/>
      <c r="C68" s="318"/>
      <c r="D68" s="319"/>
      <c r="E68" s="319"/>
      <c r="F68" s="319"/>
      <c r="G68" s="319"/>
      <c r="H68" s="593"/>
      <c r="I68" s="319"/>
      <c r="J68" s="320"/>
      <c r="K68" s="318"/>
      <c r="L68" s="319"/>
      <c r="M68" s="319"/>
      <c r="N68" s="319"/>
      <c r="O68" s="318"/>
      <c r="P68" s="321"/>
      <c r="Q68" s="319"/>
      <c r="R68" s="322"/>
      <c r="S68" s="624"/>
      <c r="T68" s="15"/>
      <c r="U68" s="15"/>
      <c r="V68" s="15"/>
    </row>
    <row r="69" spans="1:23">
      <c r="A69" s="253"/>
      <c r="B69" s="234"/>
      <c r="C69" s="249"/>
      <c r="D69" s="250"/>
      <c r="E69" s="250"/>
      <c r="F69" s="250"/>
      <c r="G69" s="250"/>
      <c r="H69" s="250"/>
      <c r="I69" s="250"/>
      <c r="J69" s="251"/>
      <c r="K69" s="249"/>
      <c r="L69" s="250"/>
      <c r="M69" s="250"/>
      <c r="N69" s="250"/>
      <c r="O69" s="249"/>
      <c r="P69" s="249"/>
      <c r="Q69" s="250"/>
      <c r="R69" s="252"/>
      <c r="S69" s="605"/>
      <c r="T69" s="15"/>
      <c r="U69" s="15"/>
      <c r="V69" s="15"/>
    </row>
    <row r="70" spans="1:23">
      <c r="A70" s="253"/>
      <c r="B70" s="254"/>
      <c r="C70" s="255"/>
      <c r="D70" s="256"/>
      <c r="E70" s="256"/>
      <c r="F70" s="256"/>
      <c r="G70" s="256"/>
      <c r="H70" s="256"/>
      <c r="I70" s="256"/>
      <c r="J70" s="257"/>
      <c r="K70" s="255"/>
      <c r="L70" s="256"/>
      <c r="M70" s="256"/>
      <c r="N70" s="256"/>
      <c r="O70" s="255"/>
      <c r="P70" s="255"/>
      <c r="Q70" s="256"/>
      <c r="R70" s="258"/>
      <c r="S70" s="15"/>
      <c r="T70" s="15"/>
      <c r="U70" s="15"/>
      <c r="V70" s="15"/>
    </row>
    <row r="71" spans="1:23">
      <c r="A71" s="253"/>
      <c r="B71" s="317"/>
      <c r="C71" s="318"/>
      <c r="D71" s="319"/>
      <c r="E71" s="319"/>
      <c r="F71" s="319"/>
      <c r="G71" s="319"/>
      <c r="H71" s="331"/>
      <c r="I71" s="319"/>
      <c r="J71" s="320"/>
      <c r="K71" s="318"/>
      <c r="L71" s="319"/>
      <c r="M71" s="319"/>
      <c r="N71" s="319"/>
      <c r="O71" s="318"/>
      <c r="P71" s="321"/>
      <c r="Q71" s="319"/>
      <c r="R71" s="322"/>
      <c r="S71" s="15"/>
      <c r="T71" s="15"/>
      <c r="U71" s="15"/>
      <c r="V71" s="15"/>
    </row>
    <row r="72" spans="1:23">
      <c r="A72" s="253"/>
      <c r="B72" s="234"/>
      <c r="C72" s="249"/>
      <c r="D72" s="250"/>
      <c r="E72" s="250"/>
      <c r="F72" s="250"/>
      <c r="G72" s="250"/>
      <c r="H72" s="250"/>
      <c r="I72" s="250"/>
      <c r="J72" s="251"/>
      <c r="K72" s="249"/>
      <c r="L72" s="250"/>
      <c r="M72" s="250"/>
      <c r="N72" s="250"/>
      <c r="O72" s="249"/>
      <c r="P72" s="249"/>
      <c r="Q72" s="250"/>
      <c r="R72" s="252"/>
      <c r="S72" s="15"/>
      <c r="T72" s="15"/>
      <c r="U72" s="15"/>
      <c r="V72" s="15"/>
    </row>
    <row r="73" spans="1:23">
      <c r="A73" s="253"/>
      <c r="B73" s="254"/>
      <c r="C73" s="255"/>
      <c r="D73" s="256"/>
      <c r="E73" s="256"/>
      <c r="F73" s="256"/>
      <c r="G73" s="256"/>
      <c r="H73" s="256"/>
      <c r="I73" s="256"/>
      <c r="J73" s="257"/>
      <c r="K73" s="255"/>
      <c r="L73" s="256"/>
      <c r="M73" s="256"/>
      <c r="N73" s="256"/>
      <c r="O73" s="255"/>
      <c r="P73" s="255"/>
      <c r="Q73" s="256"/>
      <c r="R73" s="258"/>
      <c r="S73" s="15"/>
      <c r="T73" s="15"/>
      <c r="U73" s="15"/>
      <c r="V73" s="15"/>
    </row>
    <row r="74" spans="1:23">
      <c r="A74" s="253"/>
      <c r="B74" s="317"/>
      <c r="C74" s="318"/>
      <c r="D74" s="319"/>
      <c r="E74" s="319"/>
      <c r="F74" s="319"/>
      <c r="G74" s="319"/>
      <c r="H74" s="319"/>
      <c r="I74" s="319"/>
      <c r="J74" s="320"/>
      <c r="K74" s="318"/>
      <c r="L74" s="319"/>
      <c r="M74" s="319"/>
      <c r="N74" s="319"/>
      <c r="O74" s="318"/>
      <c r="P74" s="321"/>
      <c r="Q74" s="319"/>
      <c r="R74" s="322"/>
      <c r="S74" s="15"/>
      <c r="T74" s="15"/>
      <c r="U74" s="15"/>
      <c r="V74" s="15"/>
    </row>
    <row r="75" spans="1:23">
      <c r="A75" s="253"/>
      <c r="B75" s="234"/>
      <c r="C75" s="249"/>
      <c r="D75" s="250"/>
      <c r="E75" s="250"/>
      <c r="F75" s="250"/>
      <c r="G75" s="250"/>
      <c r="H75" s="250"/>
      <c r="I75" s="250"/>
      <c r="J75" s="251"/>
      <c r="K75" s="249"/>
      <c r="L75" s="250"/>
      <c r="M75" s="250"/>
      <c r="N75" s="250"/>
      <c r="O75" s="249"/>
      <c r="P75" s="249"/>
      <c r="Q75" s="250"/>
      <c r="R75" s="252"/>
      <c r="S75" s="15"/>
      <c r="T75" s="15"/>
      <c r="U75" s="15"/>
      <c r="V75" s="15"/>
    </row>
    <row r="76" spans="1:23">
      <c r="A76" s="253"/>
      <c r="B76" s="254"/>
      <c r="C76" s="255"/>
      <c r="D76" s="256"/>
      <c r="E76" s="256"/>
      <c r="F76" s="256"/>
      <c r="G76" s="256"/>
      <c r="H76" s="256"/>
      <c r="I76" s="256"/>
      <c r="J76" s="257"/>
      <c r="K76" s="255"/>
      <c r="L76" s="256"/>
      <c r="M76" s="256"/>
      <c r="N76" s="256"/>
      <c r="O76" s="255"/>
      <c r="P76" s="255"/>
      <c r="Q76" s="256"/>
      <c r="R76" s="258"/>
      <c r="S76" s="15"/>
      <c r="T76" s="15"/>
      <c r="U76" s="15"/>
      <c r="V76" s="15"/>
      <c r="W76" s="623"/>
    </row>
    <row r="77" spans="1:23">
      <c r="A77" s="260"/>
      <c r="B77" s="317"/>
      <c r="C77" s="318"/>
      <c r="D77" s="319"/>
      <c r="E77" s="319"/>
      <c r="F77" s="319"/>
      <c r="G77" s="319"/>
      <c r="H77" s="319"/>
      <c r="I77" s="319"/>
      <c r="J77" s="320"/>
      <c r="K77" s="318"/>
      <c r="L77" s="319"/>
      <c r="M77" s="319"/>
      <c r="N77" s="319"/>
      <c r="O77" s="318"/>
      <c r="P77" s="321"/>
      <c r="Q77" s="319"/>
      <c r="R77" s="322"/>
      <c r="S77" s="15"/>
      <c r="T77" s="15"/>
      <c r="U77" s="15"/>
      <c r="V77" s="15"/>
    </row>
    <row r="78" spans="1:23">
      <c r="A78" s="248"/>
      <c r="B78" s="234"/>
      <c r="C78" s="249"/>
      <c r="D78" s="250"/>
      <c r="E78" s="250"/>
      <c r="F78" s="250"/>
      <c r="G78" s="250"/>
      <c r="H78" s="250"/>
      <c r="I78" s="250"/>
      <c r="J78" s="251"/>
      <c r="K78" s="249"/>
      <c r="L78" s="250"/>
      <c r="M78" s="250"/>
      <c r="N78" s="250"/>
      <c r="O78" s="249"/>
      <c r="P78" s="249"/>
      <c r="Q78" s="250"/>
      <c r="R78" s="252"/>
      <c r="S78" s="15"/>
      <c r="T78" s="15"/>
      <c r="U78" s="15"/>
      <c r="V78" s="15"/>
    </row>
    <row r="79" spans="1:23">
      <c r="A79" s="253"/>
      <c r="B79" s="254"/>
      <c r="C79" s="255"/>
      <c r="D79" s="256"/>
      <c r="E79" s="256"/>
      <c r="F79" s="256"/>
      <c r="G79" s="256"/>
      <c r="H79" s="256"/>
      <c r="I79" s="256"/>
      <c r="J79" s="257"/>
      <c r="K79" s="255"/>
      <c r="L79" s="256"/>
      <c r="M79" s="256"/>
      <c r="N79" s="256"/>
      <c r="O79" s="255"/>
      <c r="P79" s="255"/>
      <c r="Q79" s="256"/>
      <c r="R79" s="258"/>
      <c r="S79" s="15"/>
      <c r="T79" s="15"/>
      <c r="U79" s="15"/>
      <c r="V79" s="15"/>
    </row>
    <row r="80" spans="1:23">
      <c r="A80" s="253"/>
      <c r="B80" s="317"/>
      <c r="C80" s="318"/>
      <c r="D80" s="319"/>
      <c r="E80" s="319"/>
      <c r="F80" s="319"/>
      <c r="G80" s="319"/>
      <c r="H80" s="319"/>
      <c r="I80" s="319"/>
      <c r="J80" s="320"/>
      <c r="K80" s="318"/>
      <c r="L80" s="319"/>
      <c r="M80" s="319"/>
      <c r="N80" s="319"/>
      <c r="O80" s="318"/>
      <c r="P80" s="321"/>
      <c r="Q80" s="319"/>
      <c r="R80" s="322"/>
      <c r="S80" s="15"/>
      <c r="T80" s="15"/>
      <c r="U80" s="15"/>
      <c r="V80" s="15"/>
    </row>
    <row r="81" spans="1:22">
      <c r="A81" s="253"/>
      <c r="B81" s="234"/>
      <c r="C81" s="249"/>
      <c r="D81" s="250"/>
      <c r="E81" s="250"/>
      <c r="F81" s="250"/>
      <c r="G81" s="250"/>
      <c r="H81" s="250"/>
      <c r="I81" s="250"/>
      <c r="J81" s="251"/>
      <c r="K81" s="249"/>
      <c r="L81" s="250"/>
      <c r="M81" s="250"/>
      <c r="N81" s="250"/>
      <c r="O81" s="249"/>
      <c r="P81" s="249"/>
      <c r="Q81" s="250"/>
      <c r="R81" s="252"/>
      <c r="S81" s="15"/>
      <c r="T81" s="15"/>
      <c r="U81" s="15"/>
      <c r="V81" s="15"/>
    </row>
    <row r="82" spans="1:22">
      <c r="A82" s="253"/>
      <c r="B82" s="254"/>
      <c r="C82" s="255"/>
      <c r="D82" s="256"/>
      <c r="E82" s="256"/>
      <c r="F82" s="256"/>
      <c r="G82" s="256"/>
      <c r="H82" s="256"/>
      <c r="I82" s="256"/>
      <c r="J82" s="257"/>
      <c r="K82" s="255"/>
      <c r="L82" s="256"/>
      <c r="M82" s="256"/>
      <c r="N82" s="256"/>
      <c r="O82" s="255"/>
      <c r="P82" s="255"/>
      <c r="Q82" s="256"/>
      <c r="R82" s="258"/>
      <c r="S82" s="15"/>
      <c r="T82" s="15"/>
      <c r="U82" s="15"/>
      <c r="V82" s="15"/>
    </row>
    <row r="83" spans="1:22">
      <c r="A83" s="253"/>
      <c r="B83" s="317"/>
      <c r="C83" s="318"/>
      <c r="D83" s="319"/>
      <c r="E83" s="319"/>
      <c r="F83" s="319"/>
      <c r="G83" s="319"/>
      <c r="H83" s="319"/>
      <c r="I83" s="319"/>
      <c r="J83" s="320"/>
      <c r="K83" s="318"/>
      <c r="L83" s="319"/>
      <c r="M83" s="319"/>
      <c r="N83" s="319"/>
      <c r="O83" s="318"/>
      <c r="P83" s="321"/>
      <c r="Q83" s="319"/>
      <c r="R83" s="322"/>
      <c r="S83" s="15"/>
      <c r="T83" s="15"/>
      <c r="U83" s="15"/>
      <c r="V83" s="15"/>
    </row>
    <row r="84" spans="1:22">
      <c r="A84" s="253"/>
      <c r="B84" s="234"/>
      <c r="C84" s="249"/>
      <c r="D84" s="250"/>
      <c r="E84" s="250"/>
      <c r="F84" s="250"/>
      <c r="G84" s="250"/>
      <c r="H84" s="250"/>
      <c r="I84" s="250"/>
      <c r="J84" s="251"/>
      <c r="K84" s="249"/>
      <c r="L84" s="250"/>
      <c r="M84" s="250"/>
      <c r="N84" s="250"/>
      <c r="O84" s="249"/>
      <c r="P84" s="249"/>
      <c r="Q84" s="250"/>
      <c r="R84" s="252"/>
      <c r="S84" s="15"/>
      <c r="T84" s="15"/>
      <c r="U84" s="15"/>
      <c r="V84" s="15"/>
    </row>
    <row r="85" spans="1:22">
      <c r="A85" s="253"/>
      <c r="B85" s="254"/>
      <c r="C85" s="255"/>
      <c r="D85" s="256"/>
      <c r="E85" s="256"/>
      <c r="F85" s="256"/>
      <c r="G85" s="256"/>
      <c r="H85" s="256"/>
      <c r="I85" s="256"/>
      <c r="J85" s="257"/>
      <c r="K85" s="255"/>
      <c r="L85" s="256"/>
      <c r="M85" s="256"/>
      <c r="N85" s="256"/>
      <c r="O85" s="255"/>
      <c r="P85" s="255"/>
      <c r="Q85" s="256"/>
      <c r="R85" s="258"/>
      <c r="S85" s="15"/>
      <c r="T85" s="15"/>
      <c r="U85" s="15"/>
      <c r="V85" s="15"/>
    </row>
    <row r="86" spans="1:22">
      <c r="A86" s="253"/>
      <c r="B86" s="317"/>
      <c r="C86" s="318"/>
      <c r="D86" s="319"/>
      <c r="E86" s="319"/>
      <c r="F86" s="319"/>
      <c r="G86" s="319"/>
      <c r="H86" s="319"/>
      <c r="I86" s="319"/>
      <c r="J86" s="320"/>
      <c r="K86" s="318"/>
      <c r="L86" s="319"/>
      <c r="M86" s="319"/>
      <c r="N86" s="319"/>
      <c r="O86" s="318"/>
      <c r="P86" s="321"/>
      <c r="Q86" s="319"/>
      <c r="R86" s="322"/>
      <c r="S86" s="15"/>
      <c r="T86" s="15"/>
      <c r="U86" s="15"/>
      <c r="V86" s="15"/>
    </row>
    <row r="87" spans="1:22">
      <c r="A87" s="253"/>
      <c r="B87" s="234"/>
      <c r="C87" s="249"/>
      <c r="D87" s="250"/>
      <c r="E87" s="250"/>
      <c r="F87" s="250"/>
      <c r="G87" s="250"/>
      <c r="H87" s="250"/>
      <c r="I87" s="250"/>
      <c r="J87" s="251"/>
      <c r="K87" s="249"/>
      <c r="L87" s="250"/>
      <c r="M87" s="250"/>
      <c r="N87" s="250"/>
      <c r="O87" s="249"/>
      <c r="P87" s="249"/>
      <c r="Q87" s="250"/>
      <c r="R87" s="252"/>
      <c r="S87" s="15"/>
      <c r="T87" s="15"/>
      <c r="U87" s="15"/>
      <c r="V87" s="15"/>
    </row>
    <row r="88" spans="1:22">
      <c r="A88" s="253"/>
      <c r="B88" s="254"/>
      <c r="C88" s="255"/>
      <c r="D88" s="256"/>
      <c r="E88" s="256"/>
      <c r="F88" s="256"/>
      <c r="G88" s="256"/>
      <c r="H88" s="256"/>
      <c r="I88" s="256"/>
      <c r="J88" s="257"/>
      <c r="K88" s="255"/>
      <c r="L88" s="256"/>
      <c r="M88" s="256"/>
      <c r="N88" s="256"/>
      <c r="O88" s="255"/>
      <c r="P88" s="255"/>
      <c r="Q88" s="256"/>
      <c r="R88" s="258"/>
      <c r="S88" s="15"/>
      <c r="T88" s="15"/>
      <c r="U88" s="15"/>
      <c r="V88" s="15"/>
    </row>
    <row r="89" spans="1:22">
      <c r="A89" s="253"/>
      <c r="B89" s="317"/>
      <c r="C89" s="318"/>
      <c r="D89" s="319"/>
      <c r="E89" s="319"/>
      <c r="F89" s="319"/>
      <c r="G89" s="319"/>
      <c r="H89" s="319"/>
      <c r="I89" s="319"/>
      <c r="J89" s="320"/>
      <c r="K89" s="318"/>
      <c r="L89" s="319"/>
      <c r="M89" s="319"/>
      <c r="N89" s="319"/>
      <c r="O89" s="318"/>
      <c r="P89" s="321"/>
      <c r="Q89" s="319"/>
      <c r="R89" s="322"/>
      <c r="S89" s="15"/>
      <c r="T89" s="15"/>
      <c r="U89" s="15"/>
      <c r="V89" s="15"/>
    </row>
    <row r="90" spans="1:22">
      <c r="A90" s="253"/>
      <c r="B90" s="234"/>
      <c r="C90" s="249"/>
      <c r="D90" s="250"/>
      <c r="E90" s="250"/>
      <c r="F90" s="250"/>
      <c r="G90" s="250"/>
      <c r="H90" s="250"/>
      <c r="I90" s="250"/>
      <c r="J90" s="251"/>
      <c r="K90" s="249"/>
      <c r="L90" s="250"/>
      <c r="M90" s="250"/>
      <c r="N90" s="250"/>
      <c r="O90" s="249"/>
      <c r="P90" s="249"/>
      <c r="Q90" s="250"/>
      <c r="R90" s="252"/>
      <c r="S90" s="15"/>
      <c r="T90" s="15"/>
      <c r="U90" s="15"/>
      <c r="V90" s="15"/>
    </row>
    <row r="91" spans="1:22">
      <c r="A91" s="253"/>
      <c r="B91" s="254"/>
      <c r="C91" s="255"/>
      <c r="D91" s="256"/>
      <c r="E91" s="256"/>
      <c r="F91" s="256"/>
      <c r="G91" s="256"/>
      <c r="H91" s="256"/>
      <c r="I91" s="256"/>
      <c r="J91" s="257"/>
      <c r="K91" s="255"/>
      <c r="L91" s="256"/>
      <c r="M91" s="256"/>
      <c r="N91" s="256"/>
      <c r="O91" s="255"/>
      <c r="P91" s="255"/>
      <c r="Q91" s="256"/>
      <c r="R91" s="258"/>
      <c r="S91" s="15"/>
      <c r="T91" s="15"/>
      <c r="U91" s="15"/>
      <c r="V91" s="15"/>
    </row>
    <row r="92" spans="1:22">
      <c r="A92" s="253"/>
      <c r="B92" s="317"/>
      <c r="C92" s="318"/>
      <c r="D92" s="319"/>
      <c r="E92" s="319"/>
      <c r="F92" s="319"/>
      <c r="G92" s="319"/>
      <c r="H92" s="319"/>
      <c r="I92" s="319"/>
      <c r="J92" s="320"/>
      <c r="K92" s="318"/>
      <c r="L92" s="319"/>
      <c r="M92" s="319"/>
      <c r="N92" s="319"/>
      <c r="O92" s="318"/>
      <c r="P92" s="321"/>
      <c r="Q92" s="319"/>
      <c r="R92" s="322"/>
      <c r="S92" s="15"/>
      <c r="T92" s="15"/>
      <c r="U92" s="15"/>
      <c r="V92" s="15"/>
    </row>
    <row r="93" spans="1:22">
      <c r="A93" s="253"/>
      <c r="B93" s="234"/>
      <c r="C93" s="249"/>
      <c r="D93" s="250"/>
      <c r="E93" s="250"/>
      <c r="F93" s="250"/>
      <c r="G93" s="250"/>
      <c r="H93" s="250"/>
      <c r="I93" s="250"/>
      <c r="J93" s="251"/>
      <c r="K93" s="249"/>
      <c r="L93" s="250"/>
      <c r="M93" s="250"/>
      <c r="N93" s="250"/>
      <c r="O93" s="249"/>
      <c r="P93" s="249"/>
      <c r="Q93" s="250"/>
      <c r="R93" s="252"/>
      <c r="S93" s="15"/>
      <c r="T93" s="15"/>
      <c r="U93" s="15"/>
      <c r="V93" s="15"/>
    </row>
    <row r="94" spans="1:22">
      <c r="A94" s="253"/>
      <c r="B94" s="254"/>
      <c r="C94" s="255"/>
      <c r="D94" s="256"/>
      <c r="E94" s="256"/>
      <c r="F94" s="256"/>
      <c r="G94" s="256"/>
      <c r="H94" s="256"/>
      <c r="I94" s="256"/>
      <c r="J94" s="257"/>
      <c r="K94" s="255"/>
      <c r="L94" s="256"/>
      <c r="M94" s="256"/>
      <c r="N94" s="256"/>
      <c r="O94" s="255"/>
      <c r="P94" s="255"/>
      <c r="Q94" s="256"/>
      <c r="R94" s="258"/>
      <c r="S94" s="15"/>
      <c r="T94" s="15"/>
      <c r="U94" s="15"/>
      <c r="V94" s="15"/>
    </row>
    <row r="95" spans="1:22">
      <c r="A95" s="253"/>
      <c r="B95" s="317"/>
      <c r="C95" s="318"/>
      <c r="D95" s="319"/>
      <c r="E95" s="319"/>
      <c r="F95" s="319"/>
      <c r="G95" s="319"/>
      <c r="H95" s="319"/>
      <c r="I95" s="319"/>
      <c r="J95" s="320"/>
      <c r="K95" s="318"/>
      <c r="L95" s="319"/>
      <c r="M95" s="319"/>
      <c r="N95" s="319"/>
      <c r="O95" s="318"/>
      <c r="P95" s="321"/>
      <c r="Q95" s="319"/>
      <c r="R95" s="322"/>
      <c r="S95" s="15"/>
      <c r="T95" s="15"/>
      <c r="U95" s="15"/>
      <c r="V95" s="15"/>
    </row>
    <row r="96" spans="1:22">
      <c r="A96" s="253"/>
      <c r="B96" s="234"/>
      <c r="C96" s="249"/>
      <c r="D96" s="250"/>
      <c r="E96" s="250"/>
      <c r="F96" s="250"/>
      <c r="G96" s="250"/>
      <c r="H96" s="250"/>
      <c r="I96" s="250"/>
      <c r="J96" s="251"/>
      <c r="K96" s="249"/>
      <c r="L96" s="250"/>
      <c r="M96" s="250"/>
      <c r="N96" s="250"/>
      <c r="O96" s="249"/>
      <c r="P96" s="249"/>
      <c r="Q96" s="250"/>
      <c r="R96" s="252"/>
      <c r="S96" s="15"/>
      <c r="T96" s="15"/>
      <c r="U96" s="15"/>
      <c r="V96" s="15"/>
    </row>
    <row r="97" spans="1:22">
      <c r="A97" s="253"/>
      <c r="B97" s="254"/>
      <c r="C97" s="255"/>
      <c r="D97" s="256"/>
      <c r="E97" s="256"/>
      <c r="F97" s="256"/>
      <c r="G97" s="256"/>
      <c r="H97" s="256"/>
      <c r="I97" s="256"/>
      <c r="J97" s="257"/>
      <c r="K97" s="255"/>
      <c r="L97" s="256"/>
      <c r="M97" s="256"/>
      <c r="N97" s="256"/>
      <c r="O97" s="255"/>
      <c r="P97" s="255"/>
      <c r="Q97" s="256"/>
      <c r="R97" s="258"/>
      <c r="S97" s="15"/>
      <c r="T97" s="15"/>
      <c r="U97" s="15"/>
      <c r="V97" s="15"/>
    </row>
    <row r="98" spans="1:22">
      <c r="A98" s="253"/>
      <c r="B98" s="317"/>
      <c r="C98" s="318"/>
      <c r="D98" s="319"/>
      <c r="E98" s="319"/>
      <c r="F98" s="319"/>
      <c r="G98" s="319"/>
      <c r="H98" s="319"/>
      <c r="I98" s="319"/>
      <c r="J98" s="320"/>
      <c r="K98" s="318"/>
      <c r="L98" s="319"/>
      <c r="M98" s="319"/>
      <c r="N98" s="319"/>
      <c r="O98" s="318"/>
      <c r="P98" s="321"/>
      <c r="Q98" s="319"/>
      <c r="R98" s="322"/>
      <c r="S98" s="15"/>
      <c r="T98" s="15"/>
      <c r="U98" s="15"/>
      <c r="V98" s="15"/>
    </row>
    <row r="99" spans="1:22">
      <c r="A99" s="253"/>
      <c r="B99" s="234"/>
      <c r="C99" s="594"/>
      <c r="D99" s="250"/>
      <c r="E99" s="250"/>
      <c r="F99" s="250"/>
      <c r="G99" s="250"/>
      <c r="H99" s="250"/>
      <c r="I99" s="250"/>
      <c r="J99" s="251"/>
      <c r="K99" s="249"/>
      <c r="L99" s="250"/>
      <c r="M99" s="250"/>
      <c r="N99" s="250"/>
      <c r="O99" s="249"/>
      <c r="P99" s="249"/>
      <c r="Q99" s="250"/>
      <c r="R99" s="252"/>
      <c r="S99" s="15"/>
      <c r="T99" s="15"/>
      <c r="U99" s="15"/>
      <c r="V99" s="15"/>
    </row>
    <row r="100" spans="1:22">
      <c r="A100" s="253"/>
      <c r="B100" s="254"/>
      <c r="C100" s="595"/>
      <c r="D100" s="256"/>
      <c r="E100" s="256"/>
      <c r="F100" s="256"/>
      <c r="G100" s="256"/>
      <c r="H100" s="256"/>
      <c r="I100" s="256"/>
      <c r="J100" s="257"/>
      <c r="K100" s="255"/>
      <c r="L100" s="256"/>
      <c r="M100" s="256"/>
      <c r="N100" s="256"/>
      <c r="O100" s="255"/>
      <c r="P100" s="255"/>
      <c r="Q100" s="256"/>
      <c r="R100" s="258"/>
      <c r="S100" s="15"/>
      <c r="T100" s="15"/>
      <c r="U100" s="15"/>
      <c r="V100" s="15"/>
    </row>
    <row r="101" spans="1:22">
      <c r="A101" s="253"/>
      <c r="B101" s="317"/>
      <c r="C101" s="332"/>
      <c r="D101" s="319"/>
      <c r="E101" s="319"/>
      <c r="F101" s="319"/>
      <c r="G101" s="319"/>
      <c r="H101" s="319"/>
      <c r="I101" s="319"/>
      <c r="J101" s="320"/>
      <c r="K101" s="318"/>
      <c r="L101" s="319"/>
      <c r="M101" s="319"/>
      <c r="N101" s="319"/>
      <c r="O101" s="318"/>
      <c r="P101" s="321"/>
      <c r="Q101" s="319"/>
      <c r="R101" s="322"/>
      <c r="S101" s="15"/>
      <c r="T101" s="15"/>
      <c r="U101" s="15"/>
      <c r="V101" s="15"/>
    </row>
    <row r="102" spans="1:22">
      <c r="A102" s="253"/>
      <c r="B102" s="234"/>
      <c r="C102" s="594"/>
      <c r="D102" s="250"/>
      <c r="E102" s="250"/>
      <c r="F102" s="250"/>
      <c r="G102" s="250"/>
      <c r="H102" s="250"/>
      <c r="I102" s="250"/>
      <c r="J102" s="251"/>
      <c r="K102" s="249"/>
      <c r="L102" s="250"/>
      <c r="M102" s="250"/>
      <c r="N102" s="250"/>
      <c r="O102" s="249"/>
      <c r="P102" s="249"/>
      <c r="Q102" s="250"/>
      <c r="R102" s="252"/>
      <c r="S102" s="15"/>
      <c r="T102" s="15"/>
      <c r="U102" s="15"/>
      <c r="V102" s="15"/>
    </row>
    <row r="103" spans="1:22">
      <c r="A103" s="253"/>
      <c r="B103" s="254"/>
      <c r="C103" s="595"/>
      <c r="D103" s="256"/>
      <c r="E103" s="256"/>
      <c r="F103" s="256"/>
      <c r="G103" s="256"/>
      <c r="H103" s="256"/>
      <c r="I103" s="256"/>
      <c r="J103" s="257"/>
      <c r="K103" s="255"/>
      <c r="L103" s="256"/>
      <c r="M103" s="256"/>
      <c r="N103" s="256"/>
      <c r="O103" s="255"/>
      <c r="P103" s="255"/>
      <c r="Q103" s="256"/>
      <c r="R103" s="258"/>
      <c r="S103" s="15"/>
      <c r="T103" s="15"/>
      <c r="U103" s="15"/>
      <c r="V103" s="15"/>
    </row>
    <row r="104" spans="1:22">
      <c r="A104" s="253"/>
      <c r="B104" s="317"/>
      <c r="C104" s="332"/>
      <c r="D104" s="319"/>
      <c r="E104" s="319"/>
      <c r="F104" s="319"/>
      <c r="G104" s="319"/>
      <c r="H104" s="319"/>
      <c r="I104" s="319"/>
      <c r="J104" s="320"/>
      <c r="K104" s="318"/>
      <c r="L104" s="319"/>
      <c r="M104" s="319"/>
      <c r="N104" s="319"/>
      <c r="O104" s="318"/>
      <c r="P104" s="321"/>
      <c r="Q104" s="319"/>
      <c r="R104" s="322"/>
      <c r="S104" s="605"/>
      <c r="T104" s="15"/>
      <c r="U104" s="15"/>
      <c r="V104" s="15"/>
    </row>
    <row r="105" spans="1:22">
      <c r="A105" s="253"/>
      <c r="B105" s="234"/>
      <c r="C105" s="249"/>
      <c r="D105" s="250"/>
      <c r="E105" s="250"/>
      <c r="F105" s="250"/>
      <c r="G105" s="250"/>
      <c r="H105" s="250"/>
      <c r="I105" s="250"/>
      <c r="J105" s="251"/>
      <c r="K105" s="249"/>
      <c r="L105" s="250"/>
      <c r="M105" s="250"/>
      <c r="N105" s="250"/>
      <c r="O105" s="249"/>
      <c r="P105" s="249"/>
      <c r="Q105" s="250"/>
      <c r="R105" s="252"/>
      <c r="S105" s="15"/>
      <c r="T105" s="15"/>
      <c r="U105" s="15"/>
      <c r="V105" s="15"/>
    </row>
    <row r="106" spans="1:22">
      <c r="A106" s="253"/>
      <c r="B106" s="254"/>
      <c r="C106" s="255"/>
      <c r="D106" s="256"/>
      <c r="E106" s="256"/>
      <c r="F106" s="256"/>
      <c r="G106" s="256"/>
      <c r="H106" s="256"/>
      <c r="I106" s="256"/>
      <c r="J106" s="257"/>
      <c r="K106" s="255"/>
      <c r="L106" s="256"/>
      <c r="M106" s="256"/>
      <c r="N106" s="256"/>
      <c r="O106" s="255"/>
      <c r="P106" s="255"/>
      <c r="Q106" s="256"/>
      <c r="R106" s="258"/>
      <c r="S106" s="15"/>
      <c r="T106" s="15"/>
      <c r="U106" s="15"/>
      <c r="V106" s="15"/>
    </row>
    <row r="107" spans="1:22">
      <c r="A107" s="253"/>
      <c r="B107" s="317"/>
      <c r="C107" s="318"/>
      <c r="D107" s="319"/>
      <c r="E107" s="319"/>
      <c r="F107" s="319"/>
      <c r="G107" s="319"/>
      <c r="H107" s="319"/>
      <c r="I107" s="319"/>
      <c r="J107" s="320"/>
      <c r="K107" s="318"/>
      <c r="L107" s="319"/>
      <c r="M107" s="319"/>
      <c r="N107" s="319"/>
      <c r="O107" s="318"/>
      <c r="P107" s="321"/>
      <c r="Q107" s="319"/>
      <c r="R107" s="322"/>
      <c r="S107" s="15"/>
      <c r="T107" s="15"/>
      <c r="U107" s="15"/>
      <c r="V107" s="15"/>
    </row>
    <row r="108" spans="1:22">
      <c r="A108" s="253"/>
      <c r="B108" s="234"/>
      <c r="C108" s="249"/>
      <c r="D108" s="250"/>
      <c r="E108" s="250"/>
      <c r="F108" s="250"/>
      <c r="G108" s="250"/>
      <c r="H108" s="250"/>
      <c r="I108" s="250"/>
      <c r="J108" s="251"/>
      <c r="K108" s="249"/>
      <c r="L108" s="250"/>
      <c r="M108" s="250"/>
      <c r="N108" s="250"/>
      <c r="O108" s="249"/>
      <c r="P108" s="249"/>
      <c r="Q108" s="250"/>
      <c r="R108" s="252"/>
      <c r="S108" s="15"/>
      <c r="T108" s="15"/>
      <c r="U108" s="15"/>
      <c r="V108" s="15"/>
    </row>
    <row r="109" spans="1:22">
      <c r="A109" s="253"/>
      <c r="B109" s="254"/>
      <c r="C109" s="255"/>
      <c r="D109" s="256"/>
      <c r="E109" s="256"/>
      <c r="F109" s="256"/>
      <c r="G109" s="256"/>
      <c r="H109" s="256"/>
      <c r="I109" s="256"/>
      <c r="J109" s="257"/>
      <c r="K109" s="255"/>
      <c r="L109" s="256"/>
      <c r="M109" s="256"/>
      <c r="N109" s="256"/>
      <c r="O109" s="255"/>
      <c r="P109" s="255"/>
      <c r="Q109" s="256"/>
      <c r="R109" s="258"/>
      <c r="S109" s="15"/>
      <c r="T109" s="15"/>
      <c r="U109" s="15"/>
      <c r="V109" s="15"/>
    </row>
    <row r="110" spans="1:22">
      <c r="A110" s="253"/>
      <c r="B110" s="317"/>
      <c r="C110" s="318"/>
      <c r="D110" s="319"/>
      <c r="E110" s="319"/>
      <c r="F110" s="319"/>
      <c r="G110" s="319"/>
      <c r="H110" s="319"/>
      <c r="I110" s="319"/>
      <c r="J110" s="320"/>
      <c r="K110" s="318"/>
      <c r="L110" s="319"/>
      <c r="M110" s="319"/>
      <c r="N110" s="319"/>
      <c r="O110" s="318"/>
      <c r="P110" s="321"/>
      <c r="Q110" s="319"/>
      <c r="R110" s="322"/>
      <c r="S110" s="15"/>
      <c r="T110" s="15"/>
      <c r="U110" s="15"/>
      <c r="V110" s="15"/>
    </row>
    <row r="111" spans="1:22">
      <c r="A111" s="253"/>
      <c r="B111" s="234"/>
      <c r="C111" s="249"/>
      <c r="D111" s="250"/>
      <c r="E111" s="250"/>
      <c r="F111" s="250"/>
      <c r="G111" s="250"/>
      <c r="H111" s="250"/>
      <c r="I111" s="250"/>
      <c r="J111" s="251"/>
      <c r="K111" s="249"/>
      <c r="L111" s="250"/>
      <c r="M111" s="250"/>
      <c r="N111" s="250"/>
      <c r="O111" s="249"/>
      <c r="P111" s="249"/>
      <c r="Q111" s="250"/>
      <c r="R111" s="252"/>
      <c r="S111" s="15"/>
      <c r="T111" s="15"/>
      <c r="U111" s="15"/>
      <c r="V111" s="15"/>
    </row>
    <row r="112" spans="1:22">
      <c r="A112" s="253"/>
      <c r="B112" s="254"/>
      <c r="C112" s="255"/>
      <c r="D112" s="256"/>
      <c r="E112" s="256"/>
      <c r="F112" s="256"/>
      <c r="G112" s="256"/>
      <c r="H112" s="256"/>
      <c r="I112" s="256"/>
      <c r="J112" s="257"/>
      <c r="K112" s="255"/>
      <c r="L112" s="256"/>
      <c r="M112" s="256"/>
      <c r="N112" s="256"/>
      <c r="O112" s="255"/>
      <c r="P112" s="255"/>
      <c r="Q112" s="256"/>
      <c r="R112" s="258"/>
      <c r="S112" s="15"/>
      <c r="T112" s="15"/>
      <c r="U112" s="15"/>
      <c r="V112" s="15"/>
    </row>
    <row r="113" spans="1:22">
      <c r="A113" s="260"/>
      <c r="B113" s="317"/>
      <c r="C113" s="318"/>
      <c r="D113" s="319"/>
      <c r="E113" s="319"/>
      <c r="F113" s="319"/>
      <c r="G113" s="319"/>
      <c r="H113" s="319"/>
      <c r="I113" s="319"/>
      <c r="J113" s="320"/>
      <c r="K113" s="318"/>
      <c r="L113" s="319"/>
      <c r="M113" s="319"/>
      <c r="N113" s="319"/>
      <c r="O113" s="318"/>
      <c r="P113" s="321"/>
      <c r="Q113" s="319"/>
      <c r="R113" s="322"/>
      <c r="S113" s="15"/>
      <c r="T113" s="15"/>
      <c r="U113" s="15"/>
      <c r="V113" s="15"/>
    </row>
    <row r="114" spans="1:22">
      <c r="A114" s="248"/>
      <c r="B114" s="234"/>
      <c r="C114" s="249"/>
      <c r="D114" s="250"/>
      <c r="E114" s="250"/>
      <c r="F114" s="250"/>
      <c r="G114" s="250"/>
      <c r="H114" s="250"/>
      <c r="I114" s="250"/>
      <c r="J114" s="251"/>
      <c r="K114" s="249"/>
      <c r="L114" s="250"/>
      <c r="M114" s="250"/>
      <c r="N114" s="250"/>
      <c r="O114" s="249"/>
      <c r="P114" s="249"/>
      <c r="Q114" s="250"/>
      <c r="R114" s="252"/>
      <c r="S114" s="15"/>
      <c r="T114" s="15"/>
      <c r="U114" s="15"/>
      <c r="V114" s="15"/>
    </row>
    <row r="115" spans="1:22">
      <c r="A115" s="253"/>
      <c r="B115" s="254"/>
      <c r="C115" s="255"/>
      <c r="D115" s="256"/>
      <c r="E115" s="256"/>
      <c r="F115" s="256"/>
      <c r="G115" s="256"/>
      <c r="H115" s="256"/>
      <c r="I115" s="256"/>
      <c r="J115" s="257"/>
      <c r="K115" s="255"/>
      <c r="L115" s="256"/>
      <c r="M115" s="256"/>
      <c r="N115" s="256"/>
      <c r="O115" s="255"/>
      <c r="P115" s="255"/>
      <c r="Q115" s="256"/>
      <c r="R115" s="258"/>
      <c r="S115" s="15"/>
      <c r="T115" s="15"/>
      <c r="U115" s="15"/>
      <c r="V115" s="15"/>
    </row>
    <row r="116" spans="1:22">
      <c r="A116" s="253"/>
      <c r="B116" s="317"/>
      <c r="C116" s="318"/>
      <c r="D116" s="319"/>
      <c r="E116" s="319"/>
      <c r="F116" s="319"/>
      <c r="G116" s="319"/>
      <c r="H116" s="319"/>
      <c r="I116" s="319"/>
      <c r="J116" s="320"/>
      <c r="K116" s="318"/>
      <c r="L116" s="319"/>
      <c r="M116" s="319"/>
      <c r="N116" s="331"/>
      <c r="O116" s="318"/>
      <c r="P116" s="321"/>
      <c r="Q116" s="319"/>
      <c r="R116" s="322"/>
      <c r="S116" s="605"/>
      <c r="T116" s="15"/>
      <c r="U116" s="15"/>
      <c r="V116" s="15"/>
    </row>
    <row r="117" spans="1:22">
      <c r="A117" s="253"/>
      <c r="B117" s="234"/>
      <c r="C117" s="249"/>
      <c r="D117" s="250"/>
      <c r="E117" s="250"/>
      <c r="F117" s="250"/>
      <c r="G117" s="250"/>
      <c r="H117" s="250"/>
      <c r="I117" s="250"/>
      <c r="J117" s="251"/>
      <c r="K117" s="249"/>
      <c r="L117" s="250"/>
      <c r="M117" s="250"/>
      <c r="N117" s="250"/>
      <c r="O117" s="249"/>
      <c r="P117" s="249"/>
      <c r="Q117" s="250"/>
      <c r="R117" s="252"/>
      <c r="S117" s="15"/>
      <c r="T117" s="15"/>
      <c r="U117" s="15"/>
      <c r="V117" s="15"/>
    </row>
    <row r="118" spans="1:22">
      <c r="A118" s="253"/>
      <c r="B118" s="254"/>
      <c r="C118" s="255"/>
      <c r="D118" s="256"/>
      <c r="E118" s="256"/>
      <c r="F118" s="256"/>
      <c r="G118" s="256"/>
      <c r="H118" s="256"/>
      <c r="I118" s="256"/>
      <c r="J118" s="257"/>
      <c r="K118" s="255"/>
      <c r="L118" s="256"/>
      <c r="M118" s="256"/>
      <c r="N118" s="256"/>
      <c r="O118" s="255"/>
      <c r="P118" s="255"/>
      <c r="Q118" s="256"/>
      <c r="R118" s="258"/>
      <c r="S118" s="15"/>
      <c r="T118" s="15"/>
      <c r="U118" s="15"/>
      <c r="V118" s="15"/>
    </row>
    <row r="119" spans="1:22">
      <c r="A119" s="253"/>
      <c r="B119" s="317"/>
      <c r="C119" s="318"/>
      <c r="D119" s="319"/>
      <c r="E119" s="319"/>
      <c r="F119" s="319"/>
      <c r="G119" s="319"/>
      <c r="H119" s="319"/>
      <c r="I119" s="319"/>
      <c r="J119" s="320"/>
      <c r="K119" s="318"/>
      <c r="L119" s="319"/>
      <c r="M119" s="319"/>
      <c r="N119" s="319"/>
      <c r="O119" s="318"/>
      <c r="P119" s="321"/>
      <c r="Q119" s="319"/>
      <c r="R119" s="322"/>
      <c r="S119" s="15"/>
      <c r="T119" s="15"/>
      <c r="U119" s="15"/>
      <c r="V119" s="15"/>
    </row>
    <row r="120" spans="1:22">
      <c r="A120" s="253"/>
      <c r="B120" s="234"/>
      <c r="C120" s="249"/>
      <c r="D120" s="250"/>
      <c r="E120" s="250"/>
      <c r="F120" s="250"/>
      <c r="G120" s="250"/>
      <c r="H120" s="250"/>
      <c r="I120" s="250"/>
      <c r="J120" s="251"/>
      <c r="K120" s="249"/>
      <c r="L120" s="250"/>
      <c r="M120" s="250"/>
      <c r="N120" s="250"/>
      <c r="O120" s="249"/>
      <c r="P120" s="249"/>
      <c r="Q120" s="250"/>
      <c r="R120" s="252"/>
      <c r="S120" s="15"/>
      <c r="T120" s="15"/>
      <c r="U120" s="15"/>
      <c r="V120" s="15"/>
    </row>
    <row r="121" spans="1:22">
      <c r="A121" s="253"/>
      <c r="B121" s="254"/>
      <c r="C121" s="255"/>
      <c r="D121" s="256"/>
      <c r="E121" s="256"/>
      <c r="F121" s="256"/>
      <c r="G121" s="256"/>
      <c r="H121" s="256"/>
      <c r="I121" s="256"/>
      <c r="J121" s="257"/>
      <c r="K121" s="255"/>
      <c r="L121" s="256"/>
      <c r="M121" s="256"/>
      <c r="N121" s="256"/>
      <c r="O121" s="255"/>
      <c r="P121" s="255"/>
      <c r="Q121" s="256"/>
      <c r="R121" s="258"/>
      <c r="S121" s="15"/>
      <c r="T121" s="15"/>
      <c r="U121" s="15"/>
      <c r="V121" s="15"/>
    </row>
    <row r="122" spans="1:22">
      <c r="A122" s="253"/>
      <c r="B122" s="317"/>
      <c r="C122" s="318"/>
      <c r="D122" s="319"/>
      <c r="E122" s="319"/>
      <c r="F122" s="319"/>
      <c r="G122" s="319"/>
      <c r="H122" s="319"/>
      <c r="I122" s="319"/>
      <c r="J122" s="320"/>
      <c r="K122" s="318"/>
      <c r="L122" s="319"/>
      <c r="M122" s="319"/>
      <c r="N122" s="319"/>
      <c r="O122" s="318"/>
      <c r="P122" s="321"/>
      <c r="Q122" s="319"/>
      <c r="R122" s="322"/>
      <c r="S122" s="15"/>
      <c r="T122" s="15"/>
      <c r="U122" s="15"/>
      <c r="V122" s="15"/>
    </row>
    <row r="123" spans="1:22">
      <c r="A123" s="253"/>
      <c r="B123" s="234"/>
      <c r="C123" s="249"/>
      <c r="D123" s="250"/>
      <c r="E123" s="250"/>
      <c r="F123" s="250"/>
      <c r="G123" s="250"/>
      <c r="H123" s="250"/>
      <c r="I123" s="250"/>
      <c r="J123" s="251"/>
      <c r="K123" s="249"/>
      <c r="L123" s="250"/>
      <c r="M123" s="250"/>
      <c r="N123" s="250"/>
      <c r="O123" s="249"/>
      <c r="P123" s="249"/>
      <c r="Q123" s="250"/>
      <c r="R123" s="252"/>
      <c r="S123" s="15"/>
      <c r="T123" s="15"/>
      <c r="U123" s="15"/>
      <c r="V123" s="15"/>
    </row>
    <row r="124" spans="1:22">
      <c r="A124" s="253"/>
      <c r="B124" s="254"/>
      <c r="C124" s="255"/>
      <c r="D124" s="256"/>
      <c r="E124" s="256"/>
      <c r="F124" s="256"/>
      <c r="G124" s="256"/>
      <c r="H124" s="256"/>
      <c r="I124" s="256"/>
      <c r="J124" s="257"/>
      <c r="K124" s="255"/>
      <c r="L124" s="256"/>
      <c r="M124" s="256"/>
      <c r="N124" s="256"/>
      <c r="O124" s="255"/>
      <c r="P124" s="255"/>
      <c r="Q124" s="256"/>
      <c r="R124" s="258"/>
      <c r="S124" s="15"/>
      <c r="T124" s="15"/>
      <c r="U124" s="15"/>
      <c r="V124" s="15"/>
    </row>
    <row r="125" spans="1:22">
      <c r="A125" s="253"/>
      <c r="B125" s="317"/>
      <c r="C125" s="318"/>
      <c r="D125" s="319"/>
      <c r="E125" s="319"/>
      <c r="F125" s="319"/>
      <c r="G125" s="319"/>
      <c r="H125" s="319"/>
      <c r="I125" s="319"/>
      <c r="J125" s="320"/>
      <c r="K125" s="318"/>
      <c r="L125" s="319"/>
      <c r="M125" s="319"/>
      <c r="N125" s="319"/>
      <c r="O125" s="318"/>
      <c r="P125" s="321"/>
      <c r="Q125" s="319"/>
      <c r="R125" s="322"/>
      <c r="S125" s="15"/>
      <c r="T125" s="15"/>
      <c r="U125" s="15"/>
      <c r="V125" s="15"/>
    </row>
    <row r="126" spans="1:22">
      <c r="A126" s="253"/>
      <c r="B126" s="234"/>
      <c r="C126" s="249"/>
      <c r="D126" s="250"/>
      <c r="E126" s="250"/>
      <c r="F126" s="250"/>
      <c r="G126" s="250"/>
      <c r="H126" s="250"/>
      <c r="I126" s="250"/>
      <c r="J126" s="251"/>
      <c r="K126" s="249"/>
      <c r="L126" s="250"/>
      <c r="M126" s="250"/>
      <c r="N126" s="250"/>
      <c r="O126" s="249"/>
      <c r="P126" s="249"/>
      <c r="Q126" s="250"/>
      <c r="R126" s="252"/>
      <c r="S126" s="15"/>
      <c r="T126" s="15"/>
      <c r="U126" s="15"/>
      <c r="V126" s="15"/>
    </row>
    <row r="127" spans="1:22">
      <c r="A127" s="253"/>
      <c r="B127" s="254"/>
      <c r="C127" s="255"/>
      <c r="D127" s="256"/>
      <c r="E127" s="256"/>
      <c r="F127" s="256"/>
      <c r="G127" s="256"/>
      <c r="H127" s="256"/>
      <c r="I127" s="256"/>
      <c r="J127" s="257"/>
      <c r="K127" s="255"/>
      <c r="L127" s="256"/>
      <c r="M127" s="256"/>
      <c r="N127" s="256"/>
      <c r="O127" s="255"/>
      <c r="P127" s="255"/>
      <c r="Q127" s="256"/>
      <c r="R127" s="258"/>
      <c r="S127" s="15"/>
      <c r="T127" s="15"/>
      <c r="U127" s="15"/>
      <c r="V127" s="15"/>
    </row>
    <row r="128" spans="1:22">
      <c r="A128" s="253"/>
      <c r="B128" s="317"/>
      <c r="C128" s="318"/>
      <c r="D128" s="319"/>
      <c r="E128" s="319"/>
      <c r="F128" s="319"/>
      <c r="G128" s="319"/>
      <c r="H128" s="319"/>
      <c r="I128" s="319"/>
      <c r="J128" s="320"/>
      <c r="K128" s="318"/>
      <c r="L128" s="319"/>
      <c r="M128" s="319"/>
      <c r="N128" s="331"/>
      <c r="O128" s="318"/>
      <c r="P128" s="321"/>
      <c r="Q128" s="319"/>
      <c r="R128" s="322"/>
      <c r="S128" s="15"/>
      <c r="T128" s="15"/>
      <c r="U128" s="15"/>
      <c r="V128" s="15"/>
    </row>
    <row r="129" spans="1:22">
      <c r="A129" s="253"/>
      <c r="B129" s="234"/>
      <c r="C129" s="249"/>
      <c r="D129" s="250"/>
      <c r="E129" s="250"/>
      <c r="F129" s="250"/>
      <c r="G129" s="250"/>
      <c r="H129" s="250"/>
      <c r="I129" s="250"/>
      <c r="J129" s="251"/>
      <c r="K129" s="249"/>
      <c r="L129" s="250"/>
      <c r="M129" s="250"/>
      <c r="N129" s="250"/>
      <c r="O129" s="249"/>
      <c r="P129" s="249"/>
      <c r="Q129" s="250"/>
      <c r="R129" s="252"/>
      <c r="S129" s="15"/>
      <c r="T129" s="15"/>
      <c r="U129" s="15"/>
      <c r="V129" s="15"/>
    </row>
    <row r="130" spans="1:22">
      <c r="A130" s="253"/>
      <c r="B130" s="254"/>
      <c r="C130" s="255"/>
      <c r="D130" s="256"/>
      <c r="E130" s="256"/>
      <c r="F130" s="256"/>
      <c r="G130" s="256"/>
      <c r="H130" s="256"/>
      <c r="I130" s="256"/>
      <c r="J130" s="257"/>
      <c r="K130" s="255"/>
      <c r="L130" s="256"/>
      <c r="M130" s="256"/>
      <c r="N130" s="256"/>
      <c r="O130" s="255"/>
      <c r="P130" s="255"/>
      <c r="Q130" s="256"/>
      <c r="R130" s="258"/>
      <c r="S130" s="15"/>
      <c r="T130" s="15"/>
      <c r="U130" s="15"/>
      <c r="V130" s="15"/>
    </row>
    <row r="131" spans="1:22">
      <c r="A131" s="253"/>
      <c r="B131" s="317"/>
      <c r="C131" s="318"/>
      <c r="D131" s="319"/>
      <c r="E131" s="319"/>
      <c r="F131" s="319"/>
      <c r="G131" s="319"/>
      <c r="H131" s="319"/>
      <c r="I131" s="319"/>
      <c r="J131" s="320"/>
      <c r="K131" s="318"/>
      <c r="L131" s="319"/>
      <c r="M131" s="319"/>
      <c r="N131" s="319"/>
      <c r="O131" s="318"/>
      <c r="P131" s="321"/>
      <c r="Q131" s="319"/>
      <c r="R131" s="322"/>
      <c r="S131" s="15"/>
      <c r="T131" s="15"/>
      <c r="U131" s="15"/>
      <c r="V131" s="15"/>
    </row>
    <row r="132" spans="1:22">
      <c r="A132" s="253"/>
      <c r="B132" s="234"/>
      <c r="C132" s="249"/>
      <c r="D132" s="250"/>
      <c r="E132" s="250"/>
      <c r="F132" s="250"/>
      <c r="G132" s="250"/>
      <c r="H132" s="250"/>
      <c r="I132" s="250"/>
      <c r="J132" s="251"/>
      <c r="K132" s="249"/>
      <c r="L132" s="250"/>
      <c r="M132" s="250"/>
      <c r="N132" s="250"/>
      <c r="O132" s="249"/>
      <c r="P132" s="249"/>
      <c r="Q132" s="250"/>
      <c r="R132" s="252"/>
      <c r="S132" s="15"/>
      <c r="T132" s="15"/>
      <c r="U132" s="15"/>
      <c r="V132" s="15"/>
    </row>
    <row r="133" spans="1:22">
      <c r="A133" s="253"/>
      <c r="B133" s="254"/>
      <c r="C133" s="255"/>
      <c r="D133" s="256"/>
      <c r="E133" s="256"/>
      <c r="F133" s="256"/>
      <c r="G133" s="256"/>
      <c r="H133" s="256"/>
      <c r="I133" s="256"/>
      <c r="J133" s="257"/>
      <c r="K133" s="255"/>
      <c r="L133" s="256"/>
      <c r="M133" s="256"/>
      <c r="N133" s="256"/>
      <c r="O133" s="255"/>
      <c r="P133" s="255"/>
      <c r="Q133" s="256"/>
      <c r="R133" s="258"/>
      <c r="S133" s="15"/>
      <c r="T133" s="15"/>
      <c r="U133" s="15"/>
      <c r="V133" s="15"/>
    </row>
    <row r="134" spans="1:22">
      <c r="A134" s="253"/>
      <c r="B134" s="317"/>
      <c r="C134" s="318"/>
      <c r="D134" s="331"/>
      <c r="E134" s="319"/>
      <c r="F134" s="319"/>
      <c r="G134" s="319"/>
      <c r="H134" s="319"/>
      <c r="I134" s="319"/>
      <c r="J134" s="320"/>
      <c r="K134" s="318"/>
      <c r="L134" s="319"/>
      <c r="M134" s="319"/>
      <c r="N134" s="319"/>
      <c r="O134" s="318"/>
      <c r="P134" s="321"/>
      <c r="Q134" s="319"/>
      <c r="R134" s="322"/>
      <c r="S134" s="15"/>
      <c r="T134" s="15"/>
      <c r="U134" s="15"/>
      <c r="V134" s="15"/>
    </row>
    <row r="135" spans="1:22">
      <c r="A135" s="253"/>
      <c r="B135" s="234"/>
      <c r="C135" s="249"/>
      <c r="D135" s="250"/>
      <c r="E135" s="250"/>
      <c r="F135" s="250"/>
      <c r="G135" s="250"/>
      <c r="H135" s="250"/>
      <c r="I135" s="250"/>
      <c r="J135" s="251"/>
      <c r="K135" s="249"/>
      <c r="L135" s="250"/>
      <c r="M135" s="250"/>
      <c r="N135" s="250"/>
      <c r="O135" s="249"/>
      <c r="P135" s="249"/>
      <c r="Q135" s="250"/>
      <c r="R135" s="252"/>
      <c r="S135" s="15"/>
      <c r="T135" s="15"/>
      <c r="U135" s="15"/>
      <c r="V135" s="15"/>
    </row>
    <row r="136" spans="1:22">
      <c r="A136" s="253"/>
      <c r="B136" s="254"/>
      <c r="C136" s="255"/>
      <c r="D136" s="256"/>
      <c r="E136" s="256"/>
      <c r="F136" s="256"/>
      <c r="G136" s="256"/>
      <c r="H136" s="256"/>
      <c r="I136" s="256"/>
      <c r="J136" s="257"/>
      <c r="K136" s="255"/>
      <c r="L136" s="256"/>
      <c r="M136" s="256"/>
      <c r="N136" s="256"/>
      <c r="O136" s="255"/>
      <c r="P136" s="255"/>
      <c r="Q136" s="256"/>
      <c r="R136" s="258"/>
      <c r="S136" s="15"/>
      <c r="T136" s="15"/>
      <c r="U136" s="15"/>
      <c r="V136" s="15"/>
    </row>
    <row r="137" spans="1:22">
      <c r="A137" s="253"/>
      <c r="B137" s="317"/>
      <c r="C137" s="318"/>
      <c r="D137" s="319"/>
      <c r="E137" s="319"/>
      <c r="F137" s="319"/>
      <c r="G137" s="319"/>
      <c r="H137" s="319"/>
      <c r="I137" s="319"/>
      <c r="J137" s="320"/>
      <c r="K137" s="318"/>
      <c r="L137" s="319"/>
      <c r="M137" s="319"/>
      <c r="N137" s="319"/>
      <c r="O137" s="318"/>
      <c r="P137" s="321"/>
      <c r="Q137" s="319"/>
      <c r="R137" s="322"/>
      <c r="S137" s="15"/>
      <c r="T137" s="15"/>
      <c r="U137" s="15"/>
      <c r="V137" s="15"/>
    </row>
    <row r="138" spans="1:22">
      <c r="A138" s="253"/>
      <c r="B138" s="234"/>
      <c r="C138" s="249"/>
      <c r="D138" s="250"/>
      <c r="E138" s="250"/>
      <c r="F138" s="250"/>
      <c r="G138" s="250"/>
      <c r="H138" s="250"/>
      <c r="I138" s="250"/>
      <c r="J138" s="251"/>
      <c r="K138" s="249"/>
      <c r="L138" s="250"/>
      <c r="M138" s="250"/>
      <c r="N138" s="250"/>
      <c r="O138" s="249"/>
      <c r="P138" s="249"/>
      <c r="Q138" s="250"/>
      <c r="R138" s="252"/>
      <c r="S138" s="15"/>
      <c r="T138" s="15"/>
      <c r="U138" s="15"/>
      <c r="V138" s="15"/>
    </row>
    <row r="139" spans="1:22">
      <c r="A139" s="253"/>
      <c r="B139" s="254"/>
      <c r="C139" s="255"/>
      <c r="D139" s="256"/>
      <c r="E139" s="256"/>
      <c r="F139" s="256"/>
      <c r="G139" s="256"/>
      <c r="H139" s="256"/>
      <c r="I139" s="256"/>
      <c r="J139" s="257"/>
      <c r="K139" s="255"/>
      <c r="L139" s="256"/>
      <c r="M139" s="256"/>
      <c r="N139" s="256"/>
      <c r="O139" s="255"/>
      <c r="P139" s="255"/>
      <c r="Q139" s="256"/>
      <c r="R139" s="258"/>
      <c r="S139" s="15"/>
      <c r="T139" s="15"/>
      <c r="U139" s="15"/>
      <c r="V139" s="15"/>
    </row>
    <row r="140" spans="1:22">
      <c r="A140" s="253"/>
      <c r="B140" s="317"/>
      <c r="C140" s="318"/>
      <c r="D140" s="331"/>
      <c r="E140" s="319"/>
      <c r="F140" s="319"/>
      <c r="G140" s="319"/>
      <c r="H140" s="319"/>
      <c r="I140" s="319"/>
      <c r="J140" s="320"/>
      <c r="K140" s="318"/>
      <c r="L140" s="319"/>
      <c r="M140" s="319"/>
      <c r="N140" s="319"/>
      <c r="O140" s="318"/>
      <c r="P140" s="321"/>
      <c r="Q140" s="319"/>
      <c r="R140" s="322"/>
      <c r="S140" s="15"/>
      <c r="T140" s="15"/>
      <c r="U140" s="15"/>
      <c r="V140" s="15"/>
    </row>
    <row r="141" spans="1:22">
      <c r="A141" s="253"/>
      <c r="B141" s="234"/>
      <c r="C141" s="249"/>
      <c r="D141" s="250"/>
      <c r="E141" s="250"/>
      <c r="F141" s="250"/>
      <c r="G141" s="250"/>
      <c r="H141" s="250"/>
      <c r="I141" s="250"/>
      <c r="J141" s="251"/>
      <c r="K141" s="249"/>
      <c r="L141" s="250"/>
      <c r="M141" s="250"/>
      <c r="N141" s="250"/>
      <c r="O141" s="249"/>
      <c r="P141" s="249"/>
      <c r="Q141" s="250"/>
      <c r="R141" s="252"/>
      <c r="S141" s="15"/>
      <c r="T141" s="15"/>
      <c r="U141" s="15"/>
      <c r="V141" s="15"/>
    </row>
    <row r="142" spans="1:22">
      <c r="A142" s="253"/>
      <c r="B142" s="254"/>
      <c r="C142" s="255"/>
      <c r="D142" s="256"/>
      <c r="E142" s="256"/>
      <c r="F142" s="256"/>
      <c r="G142" s="256"/>
      <c r="H142" s="256"/>
      <c r="I142" s="256"/>
      <c r="J142" s="257"/>
      <c r="K142" s="255"/>
      <c r="L142" s="256"/>
      <c r="M142" s="256"/>
      <c r="N142" s="256"/>
      <c r="O142" s="255"/>
      <c r="P142" s="255"/>
      <c r="Q142" s="256"/>
      <c r="R142" s="258"/>
      <c r="S142" s="15"/>
      <c r="T142" s="15"/>
      <c r="U142" s="15"/>
      <c r="V142" s="15"/>
    </row>
    <row r="143" spans="1:22">
      <c r="A143" s="253"/>
      <c r="B143" s="317"/>
      <c r="C143" s="318"/>
      <c r="D143" s="319"/>
      <c r="E143" s="319"/>
      <c r="F143" s="319"/>
      <c r="G143" s="319"/>
      <c r="H143" s="319"/>
      <c r="I143" s="319"/>
      <c r="J143" s="320"/>
      <c r="K143" s="318"/>
      <c r="L143" s="319"/>
      <c r="M143" s="319"/>
      <c r="N143" s="319"/>
      <c r="O143" s="318"/>
      <c r="P143" s="321"/>
      <c r="Q143" s="319"/>
      <c r="R143" s="322"/>
      <c r="S143" s="15"/>
      <c r="T143" s="15"/>
      <c r="U143" s="15"/>
      <c r="V143" s="15"/>
    </row>
    <row r="144" spans="1:22">
      <c r="A144" s="253"/>
      <c r="B144" s="234"/>
      <c r="C144" s="249"/>
      <c r="D144" s="250"/>
      <c r="E144" s="250"/>
      <c r="F144" s="250"/>
      <c r="G144" s="250"/>
      <c r="H144" s="250"/>
      <c r="I144" s="250"/>
      <c r="J144" s="251"/>
      <c r="K144" s="249"/>
      <c r="L144" s="250"/>
      <c r="M144" s="250"/>
      <c r="N144" s="250"/>
      <c r="O144" s="249"/>
      <c r="P144" s="249"/>
      <c r="Q144" s="250"/>
      <c r="R144" s="252"/>
      <c r="S144" s="15"/>
      <c r="T144" s="15"/>
      <c r="U144" s="15"/>
      <c r="V144" s="15"/>
    </row>
    <row r="145" spans="1:22">
      <c r="A145" s="253"/>
      <c r="B145" s="254"/>
      <c r="C145" s="255"/>
      <c r="D145" s="256"/>
      <c r="E145" s="256"/>
      <c r="F145" s="256"/>
      <c r="G145" s="256"/>
      <c r="H145" s="256"/>
      <c r="I145" s="256"/>
      <c r="J145" s="257"/>
      <c r="K145" s="255"/>
      <c r="L145" s="256"/>
      <c r="M145" s="256"/>
      <c r="N145" s="256"/>
      <c r="O145" s="255"/>
      <c r="P145" s="255"/>
      <c r="Q145" s="256"/>
      <c r="R145" s="258"/>
      <c r="S145" s="15"/>
      <c r="T145" s="15"/>
      <c r="U145" s="15"/>
      <c r="V145" s="15"/>
    </row>
    <row r="146" spans="1:22">
      <c r="A146" s="253"/>
      <c r="B146" s="317"/>
      <c r="C146" s="318"/>
      <c r="D146" s="319"/>
      <c r="E146" s="319"/>
      <c r="F146" s="319"/>
      <c r="G146" s="319"/>
      <c r="H146" s="319"/>
      <c r="I146" s="319"/>
      <c r="J146" s="320"/>
      <c r="K146" s="318"/>
      <c r="L146" s="319"/>
      <c r="M146" s="319"/>
      <c r="N146" s="319"/>
      <c r="O146" s="318"/>
      <c r="P146" s="321"/>
      <c r="Q146" s="319"/>
      <c r="R146" s="322"/>
      <c r="S146" s="15"/>
      <c r="T146" s="15"/>
      <c r="U146" s="15"/>
      <c r="V146" s="15"/>
    </row>
    <row r="147" spans="1:22">
      <c r="A147" s="253"/>
      <c r="B147" s="234"/>
      <c r="C147" s="249"/>
      <c r="D147" s="250"/>
      <c r="E147" s="250"/>
      <c r="F147" s="250"/>
      <c r="G147" s="250"/>
      <c r="H147" s="250"/>
      <c r="I147" s="250"/>
      <c r="J147" s="251"/>
      <c r="K147" s="249"/>
      <c r="L147" s="250"/>
      <c r="M147" s="250"/>
      <c r="N147" s="250"/>
      <c r="O147" s="249"/>
      <c r="P147" s="249"/>
      <c r="Q147" s="250"/>
      <c r="R147" s="252"/>
      <c r="S147" s="15"/>
      <c r="T147" s="15"/>
      <c r="U147" s="15"/>
      <c r="V147" s="15"/>
    </row>
    <row r="148" spans="1:22">
      <c r="A148" s="253"/>
      <c r="B148" s="254"/>
      <c r="C148" s="255"/>
      <c r="D148" s="256"/>
      <c r="E148" s="256"/>
      <c r="F148" s="256"/>
      <c r="G148" s="256"/>
      <c r="H148" s="256"/>
      <c r="I148" s="256"/>
      <c r="J148" s="257"/>
      <c r="K148" s="255"/>
      <c r="L148" s="256"/>
      <c r="M148" s="256"/>
      <c r="N148" s="256"/>
      <c r="O148" s="255"/>
      <c r="P148" s="255"/>
      <c r="Q148" s="256"/>
      <c r="R148" s="258"/>
      <c r="S148" s="15"/>
      <c r="T148" s="15"/>
      <c r="U148" s="15"/>
      <c r="V148" s="15"/>
    </row>
    <row r="149" spans="1:22">
      <c r="A149" s="260"/>
      <c r="B149" s="317"/>
      <c r="C149" s="318"/>
      <c r="D149" s="319"/>
      <c r="E149" s="319"/>
      <c r="F149" s="319"/>
      <c r="G149" s="319"/>
      <c r="H149" s="319"/>
      <c r="I149" s="319"/>
      <c r="J149" s="320"/>
      <c r="K149" s="318"/>
      <c r="L149" s="319"/>
      <c r="M149" s="319"/>
      <c r="N149" s="319"/>
      <c r="O149" s="318"/>
      <c r="P149" s="321"/>
      <c r="Q149" s="319"/>
      <c r="R149" s="322"/>
      <c r="S149" s="15"/>
      <c r="T149" s="15"/>
      <c r="U149" s="15"/>
      <c r="V149" s="15"/>
    </row>
    <row r="150" spans="1:22">
      <c r="A150" s="248"/>
      <c r="B150" s="234"/>
      <c r="C150" s="249"/>
      <c r="D150" s="250"/>
      <c r="E150" s="250"/>
      <c r="F150" s="250"/>
      <c r="G150" s="250"/>
      <c r="H150" s="250"/>
      <c r="I150" s="250"/>
      <c r="J150" s="251"/>
      <c r="K150" s="249"/>
      <c r="L150" s="250"/>
      <c r="M150" s="250"/>
      <c r="N150" s="250"/>
      <c r="O150" s="249"/>
      <c r="P150" s="249"/>
      <c r="Q150" s="250"/>
      <c r="R150" s="252"/>
      <c r="S150" s="15"/>
      <c r="T150" s="15"/>
      <c r="U150" s="15"/>
      <c r="V150" s="15"/>
    </row>
    <row r="151" spans="1:22">
      <c r="A151" s="253"/>
      <c r="B151" s="254"/>
      <c r="C151" s="255"/>
      <c r="D151" s="256"/>
      <c r="E151" s="256"/>
      <c r="F151" s="256"/>
      <c r="G151" s="256"/>
      <c r="H151" s="256"/>
      <c r="I151" s="256"/>
      <c r="J151" s="257"/>
      <c r="K151" s="255"/>
      <c r="L151" s="256"/>
      <c r="M151" s="256"/>
      <c r="N151" s="256"/>
      <c r="O151" s="255"/>
      <c r="P151" s="255"/>
      <c r="Q151" s="256"/>
      <c r="R151" s="258"/>
      <c r="S151" s="15"/>
      <c r="T151" s="15"/>
      <c r="U151" s="15"/>
      <c r="V151" s="15"/>
    </row>
    <row r="152" spans="1:22">
      <c r="A152" s="253"/>
      <c r="B152" s="317"/>
      <c r="C152" s="318"/>
      <c r="D152" s="319"/>
      <c r="E152" s="319"/>
      <c r="F152" s="319"/>
      <c r="G152" s="319"/>
      <c r="H152" s="319"/>
      <c r="I152" s="319"/>
      <c r="J152" s="320"/>
      <c r="K152" s="318"/>
      <c r="L152" s="319"/>
      <c r="M152" s="319"/>
      <c r="N152" s="319"/>
      <c r="O152" s="318"/>
      <c r="P152" s="321"/>
      <c r="Q152" s="319"/>
      <c r="R152" s="322"/>
      <c r="S152" s="15"/>
      <c r="T152" s="15"/>
      <c r="U152" s="15"/>
      <c r="V152" s="15"/>
    </row>
    <row r="153" spans="1:22">
      <c r="A153" s="253"/>
      <c r="B153" s="234"/>
      <c r="C153" s="249"/>
      <c r="D153" s="250"/>
      <c r="E153" s="250"/>
      <c r="F153" s="250"/>
      <c r="G153" s="250"/>
      <c r="H153" s="250"/>
      <c r="I153" s="250"/>
      <c r="J153" s="251"/>
      <c r="K153" s="249"/>
      <c r="L153" s="250"/>
      <c r="M153" s="250"/>
      <c r="N153" s="250"/>
      <c r="O153" s="249"/>
      <c r="P153" s="249"/>
      <c r="Q153" s="250"/>
      <c r="R153" s="252"/>
      <c r="S153" s="15"/>
      <c r="T153" s="15"/>
      <c r="U153" s="15"/>
      <c r="V153" s="15"/>
    </row>
    <row r="154" spans="1:22">
      <c r="A154" s="253"/>
      <c r="B154" s="254"/>
      <c r="C154" s="255"/>
      <c r="D154" s="256"/>
      <c r="E154" s="256"/>
      <c r="F154" s="256"/>
      <c r="G154" s="256"/>
      <c r="H154" s="256"/>
      <c r="I154" s="256"/>
      <c r="J154" s="257"/>
      <c r="K154" s="255"/>
      <c r="L154" s="256"/>
      <c r="M154" s="256"/>
      <c r="N154" s="256"/>
      <c r="O154" s="255"/>
      <c r="P154" s="255"/>
      <c r="Q154" s="256"/>
      <c r="R154" s="258"/>
      <c r="S154" s="15"/>
      <c r="T154" s="15"/>
      <c r="U154" s="15"/>
      <c r="V154" s="15"/>
    </row>
    <row r="155" spans="1:22">
      <c r="A155" s="253"/>
      <c r="B155" s="317"/>
      <c r="C155" s="318"/>
      <c r="D155" s="319"/>
      <c r="E155" s="319"/>
      <c r="F155" s="319"/>
      <c r="G155" s="319"/>
      <c r="H155" s="319"/>
      <c r="I155" s="319"/>
      <c r="J155" s="320"/>
      <c r="K155" s="318"/>
      <c r="L155" s="319"/>
      <c r="M155" s="319"/>
      <c r="N155" s="319"/>
      <c r="O155" s="318"/>
      <c r="P155" s="321"/>
      <c r="Q155" s="319"/>
      <c r="R155" s="322"/>
      <c r="S155" s="15"/>
      <c r="T155" s="15"/>
      <c r="U155" s="15"/>
      <c r="V155" s="15"/>
    </row>
    <row r="156" spans="1:22">
      <c r="A156" s="253"/>
      <c r="B156" s="234"/>
      <c r="C156" s="249"/>
      <c r="D156" s="250"/>
      <c r="E156" s="250"/>
      <c r="F156" s="250"/>
      <c r="G156" s="250"/>
      <c r="H156" s="250"/>
      <c r="I156" s="250"/>
      <c r="J156" s="251"/>
      <c r="K156" s="249"/>
      <c r="L156" s="250"/>
      <c r="M156" s="250"/>
      <c r="N156" s="250"/>
      <c r="O156" s="249"/>
      <c r="P156" s="249"/>
      <c r="Q156" s="250"/>
      <c r="R156" s="252"/>
      <c r="S156" s="15"/>
      <c r="T156" s="15"/>
      <c r="U156" s="15"/>
      <c r="V156" s="15"/>
    </row>
    <row r="157" spans="1:22">
      <c r="A157" s="253"/>
      <c r="B157" s="254"/>
      <c r="C157" s="255"/>
      <c r="D157" s="256"/>
      <c r="E157" s="256"/>
      <c r="F157" s="256"/>
      <c r="G157" s="256"/>
      <c r="H157" s="256"/>
      <c r="I157" s="256"/>
      <c r="J157" s="257"/>
      <c r="K157" s="255"/>
      <c r="L157" s="256"/>
      <c r="M157" s="256"/>
      <c r="N157" s="256"/>
      <c r="O157" s="255"/>
      <c r="P157" s="255"/>
      <c r="Q157" s="256"/>
      <c r="R157" s="258"/>
      <c r="S157" s="15"/>
      <c r="T157" s="15"/>
      <c r="U157" s="15"/>
      <c r="V157" s="15"/>
    </row>
    <row r="158" spans="1:22">
      <c r="A158" s="253"/>
      <c r="B158" s="317"/>
      <c r="C158" s="318"/>
      <c r="D158" s="319"/>
      <c r="E158" s="319"/>
      <c r="F158" s="319"/>
      <c r="G158" s="319"/>
      <c r="H158" s="319"/>
      <c r="I158" s="319"/>
      <c r="J158" s="320"/>
      <c r="K158" s="318"/>
      <c r="L158" s="319"/>
      <c r="M158" s="319"/>
      <c r="N158" s="319"/>
      <c r="O158" s="318"/>
      <c r="P158" s="321"/>
      <c r="Q158" s="319"/>
      <c r="R158" s="322"/>
      <c r="S158" s="15"/>
      <c r="T158" s="15"/>
      <c r="U158" s="15"/>
      <c r="V158" s="15"/>
    </row>
    <row r="159" spans="1:22">
      <c r="A159" s="253"/>
      <c r="B159" s="234"/>
      <c r="C159" s="249"/>
      <c r="D159" s="250"/>
      <c r="E159" s="250"/>
      <c r="F159" s="250"/>
      <c r="G159" s="250"/>
      <c r="H159" s="250"/>
      <c r="I159" s="250"/>
      <c r="J159" s="251"/>
      <c r="K159" s="249"/>
      <c r="L159" s="250"/>
      <c r="M159" s="250"/>
      <c r="N159" s="250"/>
      <c r="O159" s="249"/>
      <c r="P159" s="249"/>
      <c r="Q159" s="250"/>
      <c r="R159" s="252"/>
      <c r="S159" s="15"/>
      <c r="T159" s="15"/>
      <c r="U159" s="15"/>
      <c r="V159" s="15"/>
    </row>
    <row r="160" spans="1:22">
      <c r="A160" s="253"/>
      <c r="B160" s="254"/>
      <c r="C160" s="255"/>
      <c r="D160" s="256"/>
      <c r="E160" s="256"/>
      <c r="F160" s="256"/>
      <c r="G160" s="256"/>
      <c r="H160" s="256"/>
      <c r="I160" s="256"/>
      <c r="J160" s="257"/>
      <c r="K160" s="255"/>
      <c r="L160" s="256"/>
      <c r="M160" s="256"/>
      <c r="N160" s="256"/>
      <c r="O160" s="255"/>
      <c r="P160" s="255"/>
      <c r="Q160" s="256"/>
      <c r="R160" s="258"/>
      <c r="S160" s="15"/>
      <c r="T160" s="15"/>
      <c r="U160" s="15"/>
      <c r="V160" s="15"/>
    </row>
    <row r="161" spans="1:22">
      <c r="A161" s="253"/>
      <c r="B161" s="317"/>
      <c r="C161" s="318"/>
      <c r="D161" s="319"/>
      <c r="E161" s="319"/>
      <c r="F161" s="319"/>
      <c r="G161" s="319"/>
      <c r="H161" s="319"/>
      <c r="I161" s="319"/>
      <c r="J161" s="320"/>
      <c r="K161" s="318"/>
      <c r="L161" s="319"/>
      <c r="M161" s="319"/>
      <c r="N161" s="319"/>
      <c r="O161" s="318"/>
      <c r="P161" s="321"/>
      <c r="Q161" s="319"/>
      <c r="R161" s="322"/>
      <c r="S161" s="15"/>
      <c r="T161" s="15"/>
      <c r="U161" s="15"/>
      <c r="V161" s="15"/>
    </row>
    <row r="162" spans="1:22">
      <c r="A162" s="253"/>
      <c r="B162" s="234"/>
      <c r="C162" s="249"/>
      <c r="D162" s="250"/>
      <c r="E162" s="250"/>
      <c r="F162" s="250"/>
      <c r="G162" s="250"/>
      <c r="H162" s="250"/>
      <c r="I162" s="250"/>
      <c r="J162" s="251"/>
      <c r="K162" s="249"/>
      <c r="L162" s="250"/>
      <c r="M162" s="250"/>
      <c r="N162" s="250"/>
      <c r="O162" s="249"/>
      <c r="P162" s="249"/>
      <c r="Q162" s="250"/>
      <c r="R162" s="252"/>
      <c r="S162" s="15"/>
      <c r="T162" s="15"/>
      <c r="U162" s="15"/>
      <c r="V162" s="15"/>
    </row>
    <row r="163" spans="1:22">
      <c r="A163" s="253"/>
      <c r="B163" s="254"/>
      <c r="C163" s="255"/>
      <c r="D163" s="256"/>
      <c r="E163" s="256"/>
      <c r="F163" s="256"/>
      <c r="G163" s="256"/>
      <c r="H163" s="256"/>
      <c r="I163" s="256"/>
      <c r="J163" s="257"/>
      <c r="K163" s="255"/>
      <c r="L163" s="256"/>
      <c r="M163" s="256"/>
      <c r="N163" s="256"/>
      <c r="O163" s="255"/>
      <c r="P163" s="255"/>
      <c r="Q163" s="256"/>
      <c r="R163" s="258"/>
      <c r="S163" s="15"/>
      <c r="T163" s="15"/>
      <c r="U163" s="15"/>
      <c r="V163" s="15"/>
    </row>
    <row r="164" spans="1:22">
      <c r="A164" s="253"/>
      <c r="B164" s="317"/>
      <c r="C164" s="318"/>
      <c r="D164" s="319"/>
      <c r="E164" s="319"/>
      <c r="F164" s="319"/>
      <c r="G164" s="319"/>
      <c r="H164" s="319"/>
      <c r="I164" s="319"/>
      <c r="J164" s="320"/>
      <c r="K164" s="318"/>
      <c r="L164" s="319"/>
      <c r="M164" s="319"/>
      <c r="N164" s="319"/>
      <c r="O164" s="318"/>
      <c r="P164" s="321"/>
      <c r="Q164" s="319"/>
      <c r="R164" s="322"/>
      <c r="S164" s="15"/>
      <c r="T164" s="15"/>
      <c r="U164" s="15"/>
      <c r="V164" s="15"/>
    </row>
    <row r="165" spans="1:22">
      <c r="A165" s="253"/>
      <c r="B165" s="234"/>
      <c r="C165" s="249"/>
      <c r="D165" s="250"/>
      <c r="E165" s="250"/>
      <c r="F165" s="250"/>
      <c r="G165" s="250"/>
      <c r="H165" s="250"/>
      <c r="I165" s="250"/>
      <c r="J165" s="251"/>
      <c r="K165" s="249"/>
      <c r="L165" s="250"/>
      <c r="M165" s="250"/>
      <c r="N165" s="250"/>
      <c r="O165" s="249"/>
      <c r="P165" s="249"/>
      <c r="Q165" s="250"/>
      <c r="R165" s="252"/>
      <c r="S165" s="15"/>
      <c r="T165" s="15"/>
      <c r="U165" s="15"/>
      <c r="V165" s="15"/>
    </row>
    <row r="166" spans="1:22">
      <c r="A166" s="253"/>
      <c r="B166" s="254"/>
      <c r="C166" s="255"/>
      <c r="D166" s="256"/>
      <c r="E166" s="256"/>
      <c r="F166" s="256"/>
      <c r="G166" s="256"/>
      <c r="H166" s="256"/>
      <c r="I166" s="256"/>
      <c r="J166" s="257"/>
      <c r="K166" s="255"/>
      <c r="L166" s="256"/>
      <c r="M166" s="256"/>
      <c r="N166" s="256"/>
      <c r="O166" s="255"/>
      <c r="P166" s="255"/>
      <c r="Q166" s="256"/>
      <c r="R166" s="258"/>
      <c r="S166" s="15"/>
      <c r="T166" s="15"/>
      <c r="U166" s="15"/>
      <c r="V166" s="15"/>
    </row>
    <row r="167" spans="1:22">
      <c r="A167" s="253"/>
      <c r="B167" s="317"/>
      <c r="C167" s="318"/>
      <c r="D167" s="319"/>
      <c r="E167" s="319"/>
      <c r="F167" s="319"/>
      <c r="G167" s="319"/>
      <c r="H167" s="319"/>
      <c r="I167" s="319"/>
      <c r="J167" s="320"/>
      <c r="K167" s="318"/>
      <c r="L167" s="319"/>
      <c r="M167" s="319"/>
      <c r="N167" s="319"/>
      <c r="O167" s="318"/>
      <c r="P167" s="321"/>
      <c r="Q167" s="319"/>
      <c r="R167" s="322"/>
      <c r="S167" s="15"/>
      <c r="T167" s="15"/>
      <c r="U167" s="15"/>
      <c r="V167" s="15"/>
    </row>
    <row r="168" spans="1:22">
      <c r="A168" s="253"/>
      <c r="B168" s="234"/>
      <c r="C168" s="249"/>
      <c r="D168" s="250"/>
      <c r="E168" s="250"/>
      <c r="F168" s="250"/>
      <c r="G168" s="250"/>
      <c r="H168" s="250"/>
      <c r="I168" s="250"/>
      <c r="J168" s="251"/>
      <c r="K168" s="249"/>
      <c r="L168" s="250"/>
      <c r="M168" s="250"/>
      <c r="N168" s="250"/>
      <c r="O168" s="249"/>
      <c r="P168" s="249"/>
      <c r="Q168" s="250"/>
      <c r="R168" s="252"/>
      <c r="S168" s="15"/>
      <c r="T168" s="15"/>
      <c r="U168" s="15"/>
      <c r="V168" s="15"/>
    </row>
    <row r="169" spans="1:22">
      <c r="A169" s="253"/>
      <c r="B169" s="254"/>
      <c r="C169" s="255"/>
      <c r="D169" s="256"/>
      <c r="E169" s="256"/>
      <c r="F169" s="256"/>
      <c r="G169" s="256"/>
      <c r="H169" s="256"/>
      <c r="I169" s="256"/>
      <c r="J169" s="257"/>
      <c r="K169" s="255"/>
      <c r="L169" s="256"/>
      <c r="M169" s="256"/>
      <c r="N169" s="256"/>
      <c r="O169" s="255"/>
      <c r="P169" s="255"/>
      <c r="Q169" s="256"/>
      <c r="R169" s="258"/>
      <c r="S169" s="15"/>
      <c r="T169" s="15"/>
      <c r="U169" s="15"/>
      <c r="V169" s="15"/>
    </row>
    <row r="170" spans="1:22">
      <c r="A170" s="253"/>
      <c r="B170" s="317"/>
      <c r="C170" s="318"/>
      <c r="D170" s="319"/>
      <c r="E170" s="319"/>
      <c r="F170" s="319"/>
      <c r="G170" s="319"/>
      <c r="H170" s="319"/>
      <c r="I170" s="319"/>
      <c r="J170" s="320"/>
      <c r="K170" s="318"/>
      <c r="L170" s="319"/>
      <c r="M170" s="319"/>
      <c r="N170" s="319"/>
      <c r="O170" s="318"/>
      <c r="P170" s="321"/>
      <c r="Q170" s="319"/>
      <c r="R170" s="322"/>
      <c r="S170" s="15"/>
      <c r="T170" s="15"/>
      <c r="U170" s="15"/>
      <c r="V170" s="15"/>
    </row>
    <row r="171" spans="1:22">
      <c r="A171" s="253"/>
      <c r="B171" s="234"/>
      <c r="C171" s="249"/>
      <c r="D171" s="250"/>
      <c r="E171" s="250"/>
      <c r="F171" s="250"/>
      <c r="G171" s="250"/>
      <c r="H171" s="250"/>
      <c r="I171" s="250"/>
      <c r="J171" s="251"/>
      <c r="K171" s="249"/>
      <c r="L171" s="250"/>
      <c r="M171" s="250"/>
      <c r="N171" s="250"/>
      <c r="O171" s="249"/>
      <c r="P171" s="249"/>
      <c r="Q171" s="250"/>
      <c r="R171" s="252"/>
      <c r="S171" s="15"/>
      <c r="T171" s="15"/>
      <c r="U171" s="15"/>
      <c r="V171" s="15"/>
    </row>
    <row r="172" spans="1:22">
      <c r="A172" s="253"/>
      <c r="B172" s="254"/>
      <c r="C172" s="255"/>
      <c r="D172" s="256"/>
      <c r="E172" s="256"/>
      <c r="F172" s="256"/>
      <c r="G172" s="256"/>
      <c r="H172" s="256"/>
      <c r="I172" s="256"/>
      <c r="J172" s="257"/>
      <c r="K172" s="255"/>
      <c r="L172" s="256"/>
      <c r="M172" s="256"/>
      <c r="N172" s="256"/>
      <c r="O172" s="255"/>
      <c r="P172" s="255"/>
      <c r="Q172" s="256"/>
      <c r="R172" s="258"/>
      <c r="S172" s="15"/>
      <c r="T172" s="15"/>
      <c r="U172" s="15"/>
      <c r="V172" s="15"/>
    </row>
    <row r="173" spans="1:22">
      <c r="A173" s="253"/>
      <c r="B173" s="317"/>
      <c r="C173" s="318"/>
      <c r="D173" s="319"/>
      <c r="E173" s="319"/>
      <c r="F173" s="319"/>
      <c r="G173" s="319"/>
      <c r="H173" s="319"/>
      <c r="I173" s="319"/>
      <c r="J173" s="320"/>
      <c r="K173" s="318"/>
      <c r="L173" s="319"/>
      <c r="M173" s="319"/>
      <c r="N173" s="319"/>
      <c r="O173" s="318"/>
      <c r="P173" s="321"/>
      <c r="Q173" s="319"/>
      <c r="R173" s="322"/>
      <c r="S173" s="15"/>
      <c r="T173" s="15"/>
      <c r="U173" s="15"/>
      <c r="V173" s="15"/>
    </row>
    <row r="174" spans="1:22">
      <c r="A174" s="253"/>
      <c r="B174" s="234"/>
      <c r="C174" s="249"/>
      <c r="D174" s="250"/>
      <c r="E174" s="250"/>
      <c r="F174" s="250"/>
      <c r="G174" s="250"/>
      <c r="H174" s="250"/>
      <c r="I174" s="250"/>
      <c r="J174" s="251"/>
      <c r="K174" s="249"/>
      <c r="L174" s="250"/>
      <c r="M174" s="250"/>
      <c r="N174" s="250"/>
      <c r="O174" s="249"/>
      <c r="P174" s="249"/>
      <c r="Q174" s="250"/>
      <c r="R174" s="252"/>
      <c r="S174" s="15"/>
      <c r="T174" s="15"/>
      <c r="U174" s="15"/>
      <c r="V174" s="15"/>
    </row>
    <row r="175" spans="1:22">
      <c r="A175" s="253"/>
      <c r="B175" s="254"/>
      <c r="C175" s="255"/>
      <c r="D175" s="256"/>
      <c r="E175" s="256"/>
      <c r="F175" s="256"/>
      <c r="G175" s="256"/>
      <c r="H175" s="256"/>
      <c r="I175" s="256"/>
      <c r="J175" s="257"/>
      <c r="K175" s="255"/>
      <c r="L175" s="256"/>
      <c r="M175" s="256"/>
      <c r="N175" s="256"/>
      <c r="O175" s="255"/>
      <c r="P175" s="255"/>
      <c r="Q175" s="256"/>
      <c r="R175" s="258"/>
      <c r="S175" s="15"/>
      <c r="T175" s="15"/>
      <c r="U175" s="15"/>
      <c r="V175" s="15"/>
    </row>
    <row r="176" spans="1:22">
      <c r="A176" s="253"/>
      <c r="B176" s="317"/>
      <c r="C176" s="318"/>
      <c r="D176" s="319"/>
      <c r="E176" s="319"/>
      <c r="F176" s="319"/>
      <c r="G176" s="319"/>
      <c r="H176" s="319"/>
      <c r="I176" s="319"/>
      <c r="J176" s="320"/>
      <c r="K176" s="318"/>
      <c r="L176" s="319"/>
      <c r="M176" s="319"/>
      <c r="N176" s="319"/>
      <c r="O176" s="318"/>
      <c r="P176" s="321"/>
      <c r="Q176" s="319"/>
      <c r="R176" s="322"/>
      <c r="S176" s="15"/>
      <c r="T176" s="15"/>
      <c r="U176" s="15"/>
      <c r="V176" s="15"/>
    </row>
    <row r="177" spans="1:22">
      <c r="A177" s="253"/>
      <c r="B177" s="234"/>
      <c r="C177" s="249"/>
      <c r="D177" s="250"/>
      <c r="E177" s="250"/>
      <c r="F177" s="250"/>
      <c r="G177" s="250"/>
      <c r="H177" s="250"/>
      <c r="I177" s="250"/>
      <c r="J177" s="251"/>
      <c r="K177" s="249"/>
      <c r="L177" s="250"/>
      <c r="M177" s="250"/>
      <c r="N177" s="250"/>
      <c r="O177" s="249"/>
      <c r="P177" s="249"/>
      <c r="Q177" s="250"/>
      <c r="R177" s="252"/>
      <c r="S177" s="15"/>
      <c r="T177" s="15"/>
      <c r="U177" s="15"/>
      <c r="V177" s="15"/>
    </row>
    <row r="178" spans="1:22">
      <c r="A178" s="253"/>
      <c r="B178" s="254"/>
      <c r="C178" s="255"/>
      <c r="D178" s="256"/>
      <c r="E178" s="256"/>
      <c r="F178" s="256"/>
      <c r="G178" s="256"/>
      <c r="H178" s="256"/>
      <c r="I178" s="256"/>
      <c r="J178" s="257"/>
      <c r="K178" s="255"/>
      <c r="L178" s="256"/>
      <c r="M178" s="256"/>
      <c r="N178" s="256"/>
      <c r="O178" s="255"/>
      <c r="P178" s="255"/>
      <c r="Q178" s="256"/>
      <c r="R178" s="258"/>
      <c r="S178" s="15"/>
      <c r="T178" s="15"/>
      <c r="U178" s="15"/>
      <c r="V178" s="15"/>
    </row>
    <row r="179" spans="1:22">
      <c r="A179" s="253"/>
      <c r="B179" s="317"/>
      <c r="C179" s="318"/>
      <c r="D179" s="319"/>
      <c r="E179" s="319"/>
      <c r="F179" s="319"/>
      <c r="G179" s="319"/>
      <c r="H179" s="319"/>
      <c r="I179" s="319"/>
      <c r="J179" s="320"/>
      <c r="K179" s="318"/>
      <c r="L179" s="319"/>
      <c r="M179" s="319"/>
      <c r="N179" s="319"/>
      <c r="O179" s="318"/>
      <c r="P179" s="321"/>
      <c r="Q179" s="319"/>
      <c r="R179" s="322"/>
      <c r="S179" s="15"/>
      <c r="T179" s="15"/>
      <c r="U179" s="15"/>
      <c r="V179" s="15"/>
    </row>
    <row r="180" spans="1:22">
      <c r="A180" s="253"/>
      <c r="B180" s="234"/>
      <c r="C180" s="249"/>
      <c r="D180" s="250"/>
      <c r="E180" s="250"/>
      <c r="F180" s="250"/>
      <c r="G180" s="250"/>
      <c r="H180" s="250"/>
      <c r="I180" s="250"/>
      <c r="J180" s="251"/>
      <c r="K180" s="249"/>
      <c r="L180" s="250"/>
      <c r="M180" s="250"/>
      <c r="N180" s="250"/>
      <c r="O180" s="249"/>
      <c r="P180" s="249"/>
      <c r="Q180" s="250"/>
      <c r="R180" s="252"/>
      <c r="S180" s="15"/>
      <c r="T180" s="15"/>
      <c r="U180" s="15"/>
      <c r="V180" s="15"/>
    </row>
    <row r="181" spans="1:22">
      <c r="A181" s="253"/>
      <c r="B181" s="254"/>
      <c r="C181" s="255"/>
      <c r="D181" s="256"/>
      <c r="E181" s="256"/>
      <c r="F181" s="256"/>
      <c r="G181" s="256"/>
      <c r="H181" s="256"/>
      <c r="I181" s="256"/>
      <c r="J181" s="257"/>
      <c r="K181" s="255"/>
      <c r="L181" s="256"/>
      <c r="M181" s="256"/>
      <c r="N181" s="256"/>
      <c r="O181" s="255"/>
      <c r="P181" s="255"/>
      <c r="Q181" s="256"/>
      <c r="R181" s="258"/>
      <c r="S181" s="15"/>
      <c r="T181" s="15"/>
      <c r="U181" s="15"/>
      <c r="V181" s="15"/>
    </row>
    <row r="182" spans="1:22">
      <c r="A182" s="253"/>
      <c r="B182" s="317"/>
      <c r="C182" s="318"/>
      <c r="D182" s="319"/>
      <c r="E182" s="319"/>
      <c r="F182" s="319"/>
      <c r="G182" s="319"/>
      <c r="H182" s="319"/>
      <c r="I182" s="319"/>
      <c r="J182" s="320"/>
      <c r="K182" s="318"/>
      <c r="L182" s="319"/>
      <c r="M182" s="319"/>
      <c r="N182" s="319"/>
      <c r="O182" s="318"/>
      <c r="P182" s="321"/>
      <c r="Q182" s="319"/>
      <c r="R182" s="322"/>
      <c r="S182" s="15"/>
      <c r="T182" s="15"/>
      <c r="U182" s="15"/>
      <c r="V182" s="15"/>
    </row>
    <row r="183" spans="1:22">
      <c r="A183" s="253"/>
      <c r="B183" s="234"/>
      <c r="C183" s="249"/>
      <c r="D183" s="250"/>
      <c r="E183" s="250"/>
      <c r="F183" s="250"/>
      <c r="G183" s="250"/>
      <c r="H183" s="250"/>
      <c r="I183" s="250"/>
      <c r="J183" s="251"/>
      <c r="K183" s="249"/>
      <c r="L183" s="250"/>
      <c r="M183" s="250"/>
      <c r="N183" s="250"/>
      <c r="O183" s="249"/>
      <c r="P183" s="249"/>
      <c r="Q183" s="250"/>
      <c r="R183" s="252"/>
      <c r="S183" s="15"/>
      <c r="T183" s="15"/>
      <c r="U183" s="15"/>
      <c r="V183" s="15"/>
    </row>
    <row r="184" spans="1:22">
      <c r="A184" s="253"/>
      <c r="B184" s="254"/>
      <c r="C184" s="255"/>
      <c r="D184" s="256"/>
      <c r="E184" s="256"/>
      <c r="F184" s="256"/>
      <c r="G184" s="256"/>
      <c r="H184" s="256"/>
      <c r="I184" s="256"/>
      <c r="J184" s="257"/>
      <c r="K184" s="255"/>
      <c r="L184" s="256"/>
      <c r="M184" s="256"/>
      <c r="N184" s="256"/>
      <c r="O184" s="255"/>
      <c r="P184" s="255"/>
      <c r="Q184" s="256"/>
      <c r="R184" s="258"/>
      <c r="S184" s="15"/>
      <c r="T184" s="15"/>
      <c r="U184" s="15"/>
      <c r="V184" s="15"/>
    </row>
    <row r="185" spans="1:22">
      <c r="A185" s="260"/>
      <c r="B185" s="317"/>
      <c r="C185" s="318"/>
      <c r="D185" s="319"/>
      <c r="E185" s="319"/>
      <c r="F185" s="319"/>
      <c r="G185" s="319"/>
      <c r="H185" s="319"/>
      <c r="I185" s="319"/>
      <c r="J185" s="320"/>
      <c r="K185" s="318"/>
      <c r="L185" s="319"/>
      <c r="M185" s="319"/>
      <c r="N185" s="319"/>
      <c r="O185" s="318"/>
      <c r="P185" s="321"/>
      <c r="Q185" s="319"/>
      <c r="R185" s="322"/>
      <c r="S185" s="15"/>
      <c r="T185" s="15"/>
      <c r="U185" s="15"/>
      <c r="V185" s="15"/>
    </row>
    <row r="186" spans="1:22">
      <c r="A186" s="248"/>
      <c r="B186" s="234"/>
      <c r="C186" s="249"/>
      <c r="D186" s="250"/>
      <c r="E186" s="250"/>
      <c r="F186" s="250"/>
      <c r="G186" s="250"/>
      <c r="H186" s="250"/>
      <c r="I186" s="250"/>
      <c r="J186" s="251"/>
      <c r="K186" s="249"/>
      <c r="L186" s="250"/>
      <c r="M186" s="250"/>
      <c r="N186" s="250"/>
      <c r="O186" s="249"/>
      <c r="P186" s="249"/>
      <c r="Q186" s="250"/>
      <c r="R186" s="252"/>
      <c r="S186" s="15"/>
      <c r="T186" s="15"/>
      <c r="U186" s="15"/>
      <c r="V186" s="15"/>
    </row>
    <row r="187" spans="1:22">
      <c r="A187" s="253"/>
      <c r="B187" s="254"/>
      <c r="C187" s="255"/>
      <c r="D187" s="256"/>
      <c r="E187" s="256"/>
      <c r="F187" s="256"/>
      <c r="G187" s="256"/>
      <c r="H187" s="256"/>
      <c r="I187" s="256"/>
      <c r="J187" s="257"/>
      <c r="K187" s="255"/>
      <c r="L187" s="256"/>
      <c r="M187" s="256"/>
      <c r="N187" s="256"/>
      <c r="O187" s="255"/>
      <c r="P187" s="255"/>
      <c r="Q187" s="256"/>
      <c r="R187" s="258"/>
      <c r="S187" s="15"/>
      <c r="T187" s="15"/>
      <c r="U187" s="15"/>
      <c r="V187" s="15"/>
    </row>
    <row r="188" spans="1:22">
      <c r="A188" s="253"/>
      <c r="B188" s="317"/>
      <c r="C188" s="318"/>
      <c r="D188" s="319"/>
      <c r="E188" s="319"/>
      <c r="F188" s="319"/>
      <c r="G188" s="319"/>
      <c r="H188" s="319"/>
      <c r="I188" s="319"/>
      <c r="J188" s="320"/>
      <c r="K188" s="318"/>
      <c r="L188" s="331"/>
      <c r="M188" s="331"/>
      <c r="N188" s="331"/>
      <c r="O188" s="318"/>
      <c r="P188" s="321"/>
      <c r="Q188" s="319"/>
      <c r="R188" s="322"/>
      <c r="S188" s="15"/>
      <c r="T188" s="15"/>
      <c r="U188" s="15"/>
      <c r="V188" s="15"/>
    </row>
    <row r="189" spans="1:22">
      <c r="A189" s="253"/>
      <c r="B189" s="234"/>
      <c r="C189" s="249"/>
      <c r="D189" s="250"/>
      <c r="E189" s="250"/>
      <c r="F189" s="250"/>
      <c r="G189" s="250"/>
      <c r="H189" s="250"/>
      <c r="I189" s="250"/>
      <c r="J189" s="251"/>
      <c r="K189" s="249"/>
      <c r="L189" s="250"/>
      <c r="M189" s="250"/>
      <c r="N189" s="250"/>
      <c r="O189" s="249"/>
      <c r="P189" s="249"/>
      <c r="Q189" s="250"/>
      <c r="R189" s="252"/>
      <c r="S189" s="15"/>
      <c r="T189" s="15"/>
      <c r="U189" s="15"/>
      <c r="V189" s="15"/>
    </row>
    <row r="190" spans="1:22">
      <c r="A190" s="253"/>
      <c r="B190" s="254"/>
      <c r="C190" s="255"/>
      <c r="D190" s="256"/>
      <c r="E190" s="256"/>
      <c r="F190" s="256"/>
      <c r="G190" s="256"/>
      <c r="H190" s="256"/>
      <c r="I190" s="256"/>
      <c r="J190" s="257"/>
      <c r="K190" s="255"/>
      <c r="L190" s="256"/>
      <c r="M190" s="256"/>
      <c r="N190" s="256"/>
      <c r="O190" s="255"/>
      <c r="P190" s="255"/>
      <c r="Q190" s="256"/>
      <c r="R190" s="258"/>
      <c r="S190" s="15"/>
      <c r="T190" s="15"/>
      <c r="U190" s="15"/>
      <c r="V190" s="15"/>
    </row>
    <row r="191" spans="1:22">
      <c r="A191" s="253"/>
      <c r="B191" s="317"/>
      <c r="C191" s="318"/>
      <c r="D191" s="319"/>
      <c r="E191" s="319"/>
      <c r="F191" s="319"/>
      <c r="G191" s="319"/>
      <c r="H191" s="319"/>
      <c r="I191" s="319"/>
      <c r="J191" s="320"/>
      <c r="K191" s="318"/>
      <c r="L191" s="319"/>
      <c r="M191" s="319"/>
      <c r="N191" s="319"/>
      <c r="O191" s="318"/>
      <c r="P191" s="321"/>
      <c r="Q191" s="319"/>
      <c r="R191" s="322"/>
      <c r="S191" s="15"/>
      <c r="T191" s="15"/>
      <c r="U191" s="15"/>
      <c r="V191" s="15"/>
    </row>
    <row r="192" spans="1:22">
      <c r="A192" s="253"/>
      <c r="B192" s="234"/>
      <c r="C192" s="249"/>
      <c r="D192" s="250"/>
      <c r="E192" s="250"/>
      <c r="F192" s="250"/>
      <c r="G192" s="250"/>
      <c r="H192" s="250"/>
      <c r="I192" s="250"/>
      <c r="J192" s="251"/>
      <c r="K192" s="249"/>
      <c r="L192" s="250"/>
      <c r="M192" s="250"/>
      <c r="N192" s="250"/>
      <c r="O192" s="249"/>
      <c r="P192" s="249"/>
      <c r="Q192" s="250"/>
      <c r="R192" s="252"/>
      <c r="S192" s="15"/>
      <c r="T192" s="15"/>
      <c r="U192" s="15"/>
      <c r="V192" s="15"/>
    </row>
    <row r="193" spans="1:22">
      <c r="A193" s="253"/>
      <c r="B193" s="254"/>
      <c r="C193" s="255"/>
      <c r="D193" s="256"/>
      <c r="E193" s="256"/>
      <c r="F193" s="256"/>
      <c r="G193" s="256"/>
      <c r="H193" s="256"/>
      <c r="I193" s="256"/>
      <c r="J193" s="257"/>
      <c r="K193" s="255"/>
      <c r="L193" s="256"/>
      <c r="M193" s="256"/>
      <c r="N193" s="256"/>
      <c r="O193" s="255"/>
      <c r="P193" s="255"/>
      <c r="Q193" s="256"/>
      <c r="R193" s="258"/>
      <c r="S193" s="15"/>
      <c r="T193" s="15"/>
      <c r="U193" s="15"/>
      <c r="V193" s="15"/>
    </row>
    <row r="194" spans="1:22">
      <c r="A194" s="253"/>
      <c r="B194" s="317"/>
      <c r="C194" s="318"/>
      <c r="D194" s="319"/>
      <c r="E194" s="319"/>
      <c r="F194" s="319"/>
      <c r="G194" s="319"/>
      <c r="H194" s="319"/>
      <c r="I194" s="319"/>
      <c r="J194" s="320"/>
      <c r="K194" s="318"/>
      <c r="L194" s="331"/>
      <c r="M194" s="331"/>
      <c r="N194" s="331"/>
      <c r="O194" s="318"/>
      <c r="P194" s="321"/>
      <c r="Q194" s="319"/>
      <c r="R194" s="322"/>
      <c r="S194" s="15"/>
      <c r="T194" s="15"/>
      <c r="U194" s="15"/>
      <c r="V194" s="15"/>
    </row>
    <row r="195" spans="1:22">
      <c r="A195" s="253"/>
      <c r="B195" s="234"/>
      <c r="C195" s="249"/>
      <c r="D195" s="250"/>
      <c r="E195" s="250"/>
      <c r="F195" s="250"/>
      <c r="G195" s="250"/>
      <c r="H195" s="250"/>
      <c r="I195" s="250"/>
      <c r="J195" s="251"/>
      <c r="K195" s="249"/>
      <c r="L195" s="250"/>
      <c r="M195" s="250"/>
      <c r="N195" s="250"/>
      <c r="O195" s="249"/>
      <c r="P195" s="249"/>
      <c r="Q195" s="250"/>
      <c r="R195" s="252"/>
      <c r="S195" s="15"/>
      <c r="T195" s="15"/>
      <c r="U195" s="15"/>
      <c r="V195" s="15"/>
    </row>
    <row r="196" spans="1:22">
      <c r="A196" s="253"/>
      <c r="B196" s="254"/>
      <c r="C196" s="255"/>
      <c r="D196" s="256"/>
      <c r="E196" s="256"/>
      <c r="F196" s="256"/>
      <c r="G196" s="256"/>
      <c r="H196" s="256"/>
      <c r="I196" s="256"/>
      <c r="J196" s="257"/>
      <c r="K196" s="255"/>
      <c r="L196" s="256"/>
      <c r="M196" s="256"/>
      <c r="N196" s="256"/>
      <c r="O196" s="255"/>
      <c r="P196" s="255"/>
      <c r="Q196" s="256"/>
      <c r="R196" s="258"/>
      <c r="S196" s="15"/>
      <c r="T196" s="15"/>
      <c r="U196" s="15"/>
      <c r="V196" s="15"/>
    </row>
    <row r="197" spans="1:22">
      <c r="A197" s="253"/>
      <c r="B197" s="317"/>
      <c r="C197" s="318"/>
      <c r="D197" s="319"/>
      <c r="E197" s="319"/>
      <c r="F197" s="319"/>
      <c r="G197" s="319"/>
      <c r="H197" s="319"/>
      <c r="I197" s="319"/>
      <c r="J197" s="320"/>
      <c r="K197" s="318"/>
      <c r="L197" s="319"/>
      <c r="M197" s="319"/>
      <c r="N197" s="319"/>
      <c r="O197" s="318"/>
      <c r="P197" s="321"/>
      <c r="Q197" s="319"/>
      <c r="R197" s="322"/>
      <c r="S197" s="15"/>
      <c r="T197" s="15"/>
      <c r="U197" s="15"/>
      <c r="V197" s="15"/>
    </row>
    <row r="198" spans="1:22">
      <c r="A198" s="253"/>
      <c r="B198" s="234"/>
      <c r="C198" s="249"/>
      <c r="D198" s="250"/>
      <c r="E198" s="250"/>
      <c r="F198" s="250"/>
      <c r="G198" s="250"/>
      <c r="H198" s="250"/>
      <c r="I198" s="250"/>
      <c r="J198" s="251"/>
      <c r="K198" s="249"/>
      <c r="L198" s="250"/>
      <c r="M198" s="250"/>
      <c r="N198" s="250"/>
      <c r="O198" s="249"/>
      <c r="P198" s="249"/>
      <c r="Q198" s="250"/>
      <c r="R198" s="252"/>
      <c r="S198" s="15"/>
      <c r="T198" s="15"/>
      <c r="U198" s="15"/>
      <c r="V198" s="15"/>
    </row>
    <row r="199" spans="1:22">
      <c r="A199" s="253"/>
      <c r="B199" s="254"/>
      <c r="C199" s="255"/>
      <c r="D199" s="256"/>
      <c r="E199" s="256"/>
      <c r="F199" s="256"/>
      <c r="G199" s="256"/>
      <c r="H199" s="256"/>
      <c r="I199" s="256"/>
      <c r="J199" s="257"/>
      <c r="K199" s="255"/>
      <c r="L199" s="256"/>
      <c r="M199" s="256"/>
      <c r="N199" s="256"/>
      <c r="O199" s="255"/>
      <c r="P199" s="255"/>
      <c r="Q199" s="256"/>
      <c r="R199" s="258"/>
      <c r="S199" s="15"/>
      <c r="T199" s="15"/>
      <c r="U199" s="15"/>
      <c r="V199" s="15"/>
    </row>
    <row r="200" spans="1:22">
      <c r="A200" s="253"/>
      <c r="B200" s="317"/>
      <c r="C200" s="318"/>
      <c r="D200" s="319"/>
      <c r="E200" s="319"/>
      <c r="F200" s="319"/>
      <c r="G200" s="319"/>
      <c r="H200" s="319"/>
      <c r="I200" s="319"/>
      <c r="J200" s="320"/>
      <c r="K200" s="318"/>
      <c r="L200" s="319"/>
      <c r="M200" s="319"/>
      <c r="N200" s="319"/>
      <c r="O200" s="318"/>
      <c r="P200" s="321"/>
      <c r="Q200" s="319"/>
      <c r="R200" s="322"/>
      <c r="S200" s="15"/>
      <c r="T200" s="15"/>
      <c r="U200" s="15"/>
      <c r="V200" s="15"/>
    </row>
    <row r="201" spans="1:22">
      <c r="A201" s="253"/>
      <c r="B201" s="234"/>
      <c r="C201" s="249"/>
      <c r="D201" s="250"/>
      <c r="E201" s="250"/>
      <c r="F201" s="250"/>
      <c r="G201" s="250"/>
      <c r="H201" s="250"/>
      <c r="I201" s="250"/>
      <c r="J201" s="251"/>
      <c r="K201" s="249"/>
      <c r="L201" s="250"/>
      <c r="M201" s="250"/>
      <c r="N201" s="250"/>
      <c r="O201" s="249"/>
      <c r="P201" s="249"/>
      <c r="Q201" s="250"/>
      <c r="R201" s="252"/>
      <c r="S201" s="15"/>
      <c r="T201" s="15"/>
      <c r="U201" s="15"/>
      <c r="V201" s="15"/>
    </row>
    <row r="202" spans="1:22">
      <c r="A202" s="253"/>
      <c r="B202" s="254"/>
      <c r="C202" s="255"/>
      <c r="D202" s="256"/>
      <c r="E202" s="256"/>
      <c r="F202" s="256"/>
      <c r="G202" s="256"/>
      <c r="H202" s="256"/>
      <c r="I202" s="256"/>
      <c r="J202" s="257"/>
      <c r="K202" s="255"/>
      <c r="L202" s="256"/>
      <c r="M202" s="256"/>
      <c r="N202" s="256"/>
      <c r="O202" s="255"/>
      <c r="P202" s="255"/>
      <c r="Q202" s="256"/>
      <c r="R202" s="258"/>
      <c r="S202" s="15"/>
      <c r="T202" s="15"/>
      <c r="U202" s="15"/>
      <c r="V202" s="15"/>
    </row>
    <row r="203" spans="1:22">
      <c r="A203" s="253"/>
      <c r="B203" s="317"/>
      <c r="C203" s="318"/>
      <c r="D203" s="319"/>
      <c r="E203" s="319"/>
      <c r="F203" s="319"/>
      <c r="G203" s="319"/>
      <c r="H203" s="319"/>
      <c r="I203" s="319"/>
      <c r="J203" s="320"/>
      <c r="K203" s="318"/>
      <c r="L203" s="319"/>
      <c r="M203" s="319"/>
      <c r="N203" s="319"/>
      <c r="O203" s="318"/>
      <c r="P203" s="321"/>
      <c r="Q203" s="319"/>
      <c r="R203" s="322"/>
      <c r="S203" s="15"/>
      <c r="T203" s="15"/>
      <c r="U203" s="15"/>
      <c r="V203" s="15"/>
    </row>
    <row r="204" spans="1:22">
      <c r="A204" s="253"/>
      <c r="B204" s="234"/>
      <c r="C204" s="249"/>
      <c r="D204" s="250"/>
      <c r="E204" s="250"/>
      <c r="F204" s="250"/>
      <c r="G204" s="250"/>
      <c r="H204" s="250"/>
      <c r="I204" s="250"/>
      <c r="J204" s="251"/>
      <c r="K204" s="249"/>
      <c r="L204" s="250"/>
      <c r="M204" s="250"/>
      <c r="N204" s="250"/>
      <c r="O204" s="249"/>
      <c r="P204" s="249"/>
      <c r="Q204" s="250"/>
      <c r="R204" s="252"/>
      <c r="S204" s="15"/>
      <c r="T204" s="15"/>
      <c r="U204" s="15"/>
      <c r="V204" s="15"/>
    </row>
    <row r="205" spans="1:22">
      <c r="A205" s="253"/>
      <c r="B205" s="254"/>
      <c r="C205" s="255"/>
      <c r="D205" s="256"/>
      <c r="E205" s="256"/>
      <c r="F205" s="256"/>
      <c r="G205" s="256"/>
      <c r="H205" s="256"/>
      <c r="I205" s="256"/>
      <c r="J205" s="257"/>
      <c r="K205" s="255"/>
      <c r="L205" s="256"/>
      <c r="M205" s="256"/>
      <c r="N205" s="256"/>
      <c r="O205" s="255"/>
      <c r="P205" s="255"/>
      <c r="Q205" s="256"/>
      <c r="R205" s="258"/>
      <c r="S205" s="15"/>
      <c r="T205" s="15"/>
      <c r="U205" s="15"/>
      <c r="V205" s="15"/>
    </row>
    <row r="206" spans="1:22">
      <c r="A206" s="253"/>
      <c r="B206" s="317"/>
      <c r="C206" s="318"/>
      <c r="D206" s="319"/>
      <c r="E206" s="319"/>
      <c r="F206" s="319"/>
      <c r="G206" s="319"/>
      <c r="H206" s="319"/>
      <c r="I206" s="319"/>
      <c r="J206" s="320"/>
      <c r="K206" s="318"/>
      <c r="L206" s="319"/>
      <c r="M206" s="319"/>
      <c r="N206" s="319"/>
      <c r="O206" s="318"/>
      <c r="P206" s="321"/>
      <c r="Q206" s="319"/>
      <c r="R206" s="322"/>
      <c r="S206" s="15"/>
      <c r="T206" s="15"/>
      <c r="U206" s="15"/>
      <c r="V206" s="15"/>
    </row>
    <row r="207" spans="1:22">
      <c r="A207" s="253"/>
      <c r="B207" s="234"/>
      <c r="C207" s="249"/>
      <c r="D207" s="250"/>
      <c r="E207" s="250"/>
      <c r="F207" s="250"/>
      <c r="G207" s="250"/>
      <c r="H207" s="250"/>
      <c r="I207" s="250"/>
      <c r="J207" s="251"/>
      <c r="K207" s="249"/>
      <c r="L207" s="250"/>
      <c r="M207" s="250"/>
      <c r="N207" s="250"/>
      <c r="O207" s="249"/>
      <c r="P207" s="249"/>
      <c r="Q207" s="250"/>
      <c r="R207" s="252"/>
      <c r="S207" s="15"/>
      <c r="T207" s="15"/>
      <c r="U207" s="15"/>
      <c r="V207" s="15"/>
    </row>
    <row r="208" spans="1:22">
      <c r="A208" s="253"/>
      <c r="B208" s="254"/>
      <c r="C208" s="255"/>
      <c r="D208" s="256"/>
      <c r="E208" s="256"/>
      <c r="F208" s="256"/>
      <c r="G208" s="256"/>
      <c r="H208" s="256"/>
      <c r="I208" s="256"/>
      <c r="J208" s="257"/>
      <c r="K208" s="255"/>
      <c r="L208" s="256"/>
      <c r="M208" s="256"/>
      <c r="N208" s="256"/>
      <c r="O208" s="255"/>
      <c r="P208" s="255"/>
      <c r="Q208" s="256"/>
      <c r="R208" s="258"/>
      <c r="S208" s="15"/>
      <c r="T208" s="15"/>
      <c r="U208" s="15"/>
      <c r="V208" s="15"/>
    </row>
    <row r="209" spans="1:22">
      <c r="A209" s="253"/>
      <c r="B209" s="317"/>
      <c r="C209" s="318"/>
      <c r="D209" s="319"/>
      <c r="E209" s="319"/>
      <c r="F209" s="319"/>
      <c r="G209" s="319"/>
      <c r="H209" s="319"/>
      <c r="I209" s="319"/>
      <c r="J209" s="320"/>
      <c r="K209" s="318"/>
      <c r="L209" s="319"/>
      <c r="M209" s="319"/>
      <c r="N209" s="319"/>
      <c r="O209" s="318"/>
      <c r="P209" s="321"/>
      <c r="Q209" s="319"/>
      <c r="R209" s="322"/>
      <c r="S209" s="15"/>
      <c r="T209" s="15"/>
      <c r="U209" s="15"/>
      <c r="V209" s="15"/>
    </row>
    <row r="210" spans="1:22">
      <c r="A210" s="253"/>
      <c r="B210" s="234"/>
      <c r="C210" s="249"/>
      <c r="D210" s="250"/>
      <c r="E210" s="250"/>
      <c r="F210" s="250"/>
      <c r="G210" s="250"/>
      <c r="H210" s="250"/>
      <c r="I210" s="250"/>
      <c r="J210" s="251"/>
      <c r="K210" s="249"/>
      <c r="L210" s="250"/>
      <c r="M210" s="250"/>
      <c r="N210" s="250"/>
      <c r="O210" s="249"/>
      <c r="P210" s="249"/>
      <c r="Q210" s="250"/>
      <c r="R210" s="252"/>
      <c r="S210" s="15"/>
      <c r="T210" s="15"/>
      <c r="U210" s="15"/>
      <c r="V210" s="15"/>
    </row>
    <row r="211" spans="1:22">
      <c r="A211" s="253"/>
      <c r="B211" s="254"/>
      <c r="C211" s="255"/>
      <c r="D211" s="256"/>
      <c r="E211" s="256"/>
      <c r="F211" s="256"/>
      <c r="G211" s="256"/>
      <c r="H211" s="256"/>
      <c r="I211" s="256"/>
      <c r="J211" s="257"/>
      <c r="K211" s="255"/>
      <c r="L211" s="256"/>
      <c r="M211" s="256"/>
      <c r="N211" s="256"/>
      <c r="O211" s="255"/>
      <c r="P211" s="255"/>
      <c r="Q211" s="256"/>
      <c r="R211" s="258"/>
      <c r="S211" s="15"/>
      <c r="T211" s="15"/>
      <c r="U211" s="15"/>
      <c r="V211" s="15"/>
    </row>
    <row r="212" spans="1:22">
      <c r="A212" s="253"/>
      <c r="B212" s="317"/>
      <c r="C212" s="318"/>
      <c r="D212" s="319"/>
      <c r="E212" s="319"/>
      <c r="F212" s="319"/>
      <c r="G212" s="319"/>
      <c r="H212" s="319"/>
      <c r="I212" s="319"/>
      <c r="J212" s="320"/>
      <c r="K212" s="318"/>
      <c r="L212" s="319"/>
      <c r="M212" s="319"/>
      <c r="N212" s="319"/>
      <c r="O212" s="318"/>
      <c r="P212" s="321"/>
      <c r="Q212" s="319"/>
      <c r="R212" s="322"/>
      <c r="S212" s="15"/>
      <c r="T212" s="15"/>
      <c r="U212" s="15"/>
      <c r="V212" s="15"/>
    </row>
    <row r="213" spans="1:22">
      <c r="A213" s="253"/>
      <c r="B213" s="234"/>
      <c r="C213" s="249"/>
      <c r="D213" s="250"/>
      <c r="E213" s="250"/>
      <c r="F213" s="250"/>
      <c r="G213" s="250"/>
      <c r="H213" s="250"/>
      <c r="I213" s="250"/>
      <c r="J213" s="251"/>
      <c r="K213" s="249"/>
      <c r="L213" s="250"/>
      <c r="M213" s="250"/>
      <c r="N213" s="250"/>
      <c r="O213" s="249"/>
      <c r="P213" s="249"/>
      <c r="Q213" s="250"/>
      <c r="R213" s="252"/>
      <c r="S213" s="15"/>
      <c r="T213" s="15"/>
      <c r="U213" s="15"/>
      <c r="V213" s="15"/>
    </row>
    <row r="214" spans="1:22">
      <c r="A214" s="253"/>
      <c r="B214" s="254"/>
      <c r="C214" s="255"/>
      <c r="D214" s="256"/>
      <c r="E214" s="256"/>
      <c r="F214" s="256"/>
      <c r="G214" s="256"/>
      <c r="H214" s="256"/>
      <c r="I214" s="256"/>
      <c r="J214" s="257"/>
      <c r="K214" s="255"/>
      <c r="L214" s="256"/>
      <c r="M214" s="256"/>
      <c r="N214" s="256"/>
      <c r="O214" s="255"/>
      <c r="P214" s="255"/>
      <c r="Q214" s="256"/>
      <c r="R214" s="258"/>
      <c r="S214" s="15"/>
      <c r="T214" s="15"/>
      <c r="U214" s="15"/>
      <c r="V214" s="15"/>
    </row>
    <row r="215" spans="1:22">
      <c r="A215" s="253"/>
      <c r="B215" s="317"/>
      <c r="C215" s="318"/>
      <c r="D215" s="319"/>
      <c r="E215" s="319"/>
      <c r="F215" s="319"/>
      <c r="G215" s="319"/>
      <c r="H215" s="319"/>
      <c r="I215" s="319"/>
      <c r="J215" s="320"/>
      <c r="K215" s="318"/>
      <c r="L215" s="319"/>
      <c r="M215" s="319"/>
      <c r="N215" s="319"/>
      <c r="O215" s="318"/>
      <c r="P215" s="321"/>
      <c r="Q215" s="319"/>
      <c r="R215" s="322"/>
      <c r="S215" s="15"/>
      <c r="T215" s="15"/>
      <c r="U215" s="15"/>
      <c r="V215" s="15"/>
    </row>
    <row r="216" spans="1:22">
      <c r="A216" s="253"/>
      <c r="B216" s="234"/>
      <c r="C216" s="249"/>
      <c r="D216" s="250"/>
      <c r="E216" s="250"/>
      <c r="F216" s="250"/>
      <c r="G216" s="250"/>
      <c r="H216" s="250"/>
      <c r="I216" s="250"/>
      <c r="J216" s="251"/>
      <c r="K216" s="249"/>
      <c r="L216" s="250"/>
      <c r="M216" s="250"/>
      <c r="N216" s="250"/>
      <c r="O216" s="249"/>
      <c r="P216" s="249"/>
      <c r="Q216" s="250"/>
      <c r="R216" s="252"/>
      <c r="S216" s="15"/>
      <c r="T216" s="15"/>
      <c r="U216" s="15"/>
      <c r="V216" s="15"/>
    </row>
    <row r="217" spans="1:22">
      <c r="A217" s="253"/>
      <c r="B217" s="254"/>
      <c r="C217" s="255"/>
      <c r="D217" s="256"/>
      <c r="E217" s="256"/>
      <c r="F217" s="256"/>
      <c r="G217" s="256"/>
      <c r="H217" s="256"/>
      <c r="I217" s="256"/>
      <c r="J217" s="257"/>
      <c r="K217" s="255"/>
      <c r="L217" s="256"/>
      <c r="M217" s="256"/>
      <c r="N217" s="256"/>
      <c r="O217" s="255"/>
      <c r="P217" s="255"/>
      <c r="Q217" s="256"/>
      <c r="R217" s="258"/>
      <c r="S217" s="15"/>
      <c r="T217" s="15"/>
      <c r="U217" s="15"/>
      <c r="V217" s="15"/>
    </row>
    <row r="218" spans="1:22">
      <c r="A218" s="253"/>
      <c r="B218" s="317"/>
      <c r="C218" s="318"/>
      <c r="D218" s="319"/>
      <c r="E218" s="319"/>
      <c r="F218" s="319"/>
      <c r="G218" s="319"/>
      <c r="H218" s="319"/>
      <c r="I218" s="319"/>
      <c r="J218" s="320"/>
      <c r="K218" s="318"/>
      <c r="L218" s="319"/>
      <c r="M218" s="319"/>
      <c r="N218" s="319"/>
      <c r="O218" s="318"/>
      <c r="P218" s="321"/>
      <c r="Q218" s="319"/>
      <c r="R218" s="322"/>
      <c r="S218" s="15"/>
      <c r="T218" s="15"/>
      <c r="U218" s="15"/>
      <c r="V218" s="15"/>
    </row>
    <row r="219" spans="1:22">
      <c r="A219" s="253"/>
      <c r="B219" s="234"/>
      <c r="C219" s="249"/>
      <c r="D219" s="250"/>
      <c r="E219" s="250"/>
      <c r="F219" s="250"/>
      <c r="G219" s="250"/>
      <c r="H219" s="250"/>
      <c r="I219" s="250"/>
      <c r="J219" s="251"/>
      <c r="K219" s="249"/>
      <c r="L219" s="250"/>
      <c r="M219" s="250"/>
      <c r="N219" s="250"/>
      <c r="O219" s="249"/>
      <c r="P219" s="249"/>
      <c r="Q219" s="250"/>
      <c r="R219" s="252"/>
      <c r="S219" s="15"/>
      <c r="T219" s="15"/>
      <c r="U219" s="15"/>
      <c r="V219" s="15"/>
    </row>
    <row r="220" spans="1:22">
      <c r="A220" s="253"/>
      <c r="B220" s="254"/>
      <c r="C220" s="255"/>
      <c r="D220" s="256"/>
      <c r="E220" s="256"/>
      <c r="F220" s="256"/>
      <c r="G220" s="256"/>
      <c r="H220" s="256"/>
      <c r="I220" s="256"/>
      <c r="J220" s="257"/>
      <c r="K220" s="255"/>
      <c r="L220" s="256"/>
      <c r="M220" s="256"/>
      <c r="N220" s="256"/>
      <c r="O220" s="255"/>
      <c r="P220" s="255"/>
      <c r="Q220" s="256"/>
      <c r="R220" s="258"/>
      <c r="S220" s="15"/>
      <c r="T220" s="15"/>
      <c r="U220" s="15"/>
      <c r="V220" s="15"/>
    </row>
    <row r="221" spans="1:22">
      <c r="A221" s="260"/>
      <c r="B221" s="317"/>
      <c r="C221" s="318"/>
      <c r="D221" s="319"/>
      <c r="E221" s="319"/>
      <c r="F221" s="319"/>
      <c r="G221" s="319"/>
      <c r="H221" s="319"/>
      <c r="I221" s="319"/>
      <c r="J221" s="320"/>
      <c r="K221" s="318"/>
      <c r="L221" s="319"/>
      <c r="M221" s="319"/>
      <c r="N221" s="319"/>
      <c r="O221" s="318"/>
      <c r="P221" s="321"/>
      <c r="Q221" s="319"/>
      <c r="R221" s="322"/>
      <c r="S221" s="15"/>
      <c r="T221" s="15"/>
      <c r="U221" s="15"/>
      <c r="V221" s="15"/>
    </row>
    <row r="222" spans="1:22">
      <c r="A222" s="248"/>
      <c r="B222" s="234"/>
      <c r="C222" s="249"/>
      <c r="D222" s="250"/>
      <c r="E222" s="250"/>
      <c r="F222" s="250"/>
      <c r="G222" s="250"/>
      <c r="H222" s="250"/>
      <c r="I222" s="250"/>
      <c r="J222" s="251"/>
      <c r="K222" s="249"/>
      <c r="L222" s="250"/>
      <c r="M222" s="250"/>
      <c r="N222" s="250"/>
      <c r="O222" s="249"/>
      <c r="P222" s="249"/>
      <c r="Q222" s="250"/>
      <c r="R222" s="252"/>
      <c r="S222" s="15"/>
      <c r="T222" s="15"/>
      <c r="U222" s="15"/>
      <c r="V222" s="15"/>
    </row>
    <row r="223" spans="1:22">
      <c r="A223" s="253"/>
      <c r="B223" s="254"/>
      <c r="C223" s="255"/>
      <c r="D223" s="256"/>
      <c r="E223" s="256"/>
      <c r="F223" s="256"/>
      <c r="G223" s="256"/>
      <c r="H223" s="256"/>
      <c r="I223" s="256"/>
      <c r="J223" s="257"/>
      <c r="K223" s="255"/>
      <c r="L223" s="256"/>
      <c r="M223" s="256"/>
      <c r="N223" s="256"/>
      <c r="O223" s="255"/>
      <c r="P223" s="255"/>
      <c r="Q223" s="256"/>
      <c r="R223" s="258"/>
      <c r="S223" s="15"/>
      <c r="T223" s="15"/>
      <c r="U223" s="15"/>
      <c r="V223" s="15"/>
    </row>
    <row r="224" spans="1:22" s="261" customFormat="1">
      <c r="A224" s="253"/>
      <c r="B224" s="317"/>
      <c r="C224" s="318"/>
      <c r="D224" s="319"/>
      <c r="E224" s="319"/>
      <c r="F224" s="319"/>
      <c r="G224" s="319"/>
      <c r="H224" s="319"/>
      <c r="I224" s="319"/>
      <c r="J224" s="320"/>
      <c r="K224" s="318"/>
      <c r="L224" s="319"/>
      <c r="M224" s="319"/>
      <c r="N224" s="319"/>
      <c r="O224" s="318"/>
      <c r="P224" s="321"/>
      <c r="Q224" s="319"/>
      <c r="R224" s="322"/>
      <c r="S224" s="15"/>
      <c r="T224" s="15"/>
      <c r="U224" s="15"/>
      <c r="V224" s="15"/>
    </row>
    <row r="225" spans="1:22">
      <c r="A225" s="253"/>
      <c r="B225" s="234"/>
      <c r="C225" s="249"/>
      <c r="D225" s="250"/>
      <c r="E225" s="250"/>
      <c r="F225" s="250"/>
      <c r="G225" s="250"/>
      <c r="H225" s="250"/>
      <c r="I225" s="250"/>
      <c r="J225" s="251"/>
      <c r="K225" s="249"/>
      <c r="L225" s="250"/>
      <c r="M225" s="250"/>
      <c r="N225" s="250"/>
      <c r="O225" s="249"/>
      <c r="P225" s="249"/>
      <c r="Q225" s="250"/>
      <c r="R225" s="252"/>
      <c r="S225" s="15"/>
      <c r="T225" s="15"/>
      <c r="U225" s="15"/>
      <c r="V225" s="15"/>
    </row>
    <row r="226" spans="1:22">
      <c r="A226" s="253"/>
      <c r="B226" s="254"/>
      <c r="C226" s="255"/>
      <c r="D226" s="256"/>
      <c r="E226" s="256"/>
      <c r="F226" s="256"/>
      <c r="G226" s="256"/>
      <c r="H226" s="256"/>
      <c r="I226" s="256"/>
      <c r="J226" s="257"/>
      <c r="K226" s="255"/>
      <c r="L226" s="256"/>
      <c r="M226" s="256"/>
      <c r="N226" s="256"/>
      <c r="O226" s="255"/>
      <c r="P226" s="255"/>
      <c r="Q226" s="256"/>
      <c r="R226" s="258"/>
      <c r="S226" s="15"/>
      <c r="T226" s="15"/>
      <c r="U226" s="15"/>
      <c r="V226" s="15"/>
    </row>
    <row r="227" spans="1:22" s="261" customFormat="1">
      <c r="A227" s="253"/>
      <c r="B227" s="317"/>
      <c r="C227" s="318"/>
      <c r="D227" s="319"/>
      <c r="E227" s="319"/>
      <c r="F227" s="319"/>
      <c r="G227" s="319"/>
      <c r="H227" s="319"/>
      <c r="I227" s="319"/>
      <c r="J227" s="320"/>
      <c r="K227" s="318"/>
      <c r="L227" s="319"/>
      <c r="M227" s="319"/>
      <c r="N227" s="319"/>
      <c r="O227" s="318"/>
      <c r="P227" s="321"/>
      <c r="Q227" s="319"/>
      <c r="R227" s="322"/>
      <c r="S227" s="15"/>
      <c r="T227" s="15"/>
      <c r="U227" s="15"/>
      <c r="V227" s="15"/>
    </row>
    <row r="228" spans="1:22">
      <c r="A228" s="253"/>
      <c r="B228" s="234"/>
      <c r="C228" s="249"/>
      <c r="D228" s="250"/>
      <c r="E228" s="250"/>
      <c r="F228" s="250"/>
      <c r="G228" s="250"/>
      <c r="H228" s="250"/>
      <c r="I228" s="250"/>
      <c r="J228" s="251"/>
      <c r="K228" s="249"/>
      <c r="L228" s="250"/>
      <c r="M228" s="250"/>
      <c r="N228" s="250"/>
      <c r="O228" s="249"/>
      <c r="P228" s="249"/>
      <c r="Q228" s="250"/>
      <c r="R228" s="252"/>
      <c r="S228" s="15"/>
      <c r="T228" s="15"/>
      <c r="U228" s="15"/>
      <c r="V228" s="15"/>
    </row>
    <row r="229" spans="1:22">
      <c r="A229" s="253"/>
      <c r="B229" s="254"/>
      <c r="C229" s="255"/>
      <c r="D229" s="256"/>
      <c r="E229" s="256"/>
      <c r="F229" s="256"/>
      <c r="G229" s="256"/>
      <c r="H229" s="256"/>
      <c r="I229" s="256"/>
      <c r="J229" s="257"/>
      <c r="K229" s="255"/>
      <c r="L229" s="256"/>
      <c r="M229" s="256"/>
      <c r="N229" s="256"/>
      <c r="O229" s="255"/>
      <c r="P229" s="255"/>
      <c r="Q229" s="256"/>
      <c r="R229" s="258"/>
      <c r="S229" s="15"/>
      <c r="T229" s="15"/>
      <c r="U229" s="15"/>
      <c r="V229" s="15"/>
    </row>
    <row r="230" spans="1:22" s="261" customFormat="1">
      <c r="A230" s="253"/>
      <c r="B230" s="317"/>
      <c r="C230" s="318"/>
      <c r="D230" s="319"/>
      <c r="E230" s="319"/>
      <c r="F230" s="319"/>
      <c r="G230" s="319"/>
      <c r="H230" s="319"/>
      <c r="I230" s="319"/>
      <c r="J230" s="320"/>
      <c r="K230" s="318"/>
      <c r="L230" s="319"/>
      <c r="M230" s="319"/>
      <c r="N230" s="319"/>
      <c r="O230" s="318"/>
      <c r="P230" s="321"/>
      <c r="Q230" s="319"/>
      <c r="R230" s="322"/>
      <c r="S230" s="15"/>
      <c r="T230" s="15"/>
      <c r="U230" s="15"/>
      <c r="V230" s="15"/>
    </row>
    <row r="231" spans="1:22">
      <c r="A231" s="253"/>
      <c r="B231" s="234"/>
      <c r="C231" s="249"/>
      <c r="D231" s="250"/>
      <c r="E231" s="250"/>
      <c r="F231" s="250"/>
      <c r="G231" s="250"/>
      <c r="H231" s="250"/>
      <c r="I231" s="250"/>
      <c r="J231" s="251"/>
      <c r="K231" s="249"/>
      <c r="L231" s="250"/>
      <c r="M231" s="250"/>
      <c r="N231" s="250"/>
      <c r="O231" s="249"/>
      <c r="P231" s="249"/>
      <c r="Q231" s="250"/>
      <c r="R231" s="252"/>
      <c r="S231" s="15"/>
      <c r="T231" s="15"/>
      <c r="U231" s="15"/>
      <c r="V231" s="15"/>
    </row>
    <row r="232" spans="1:22">
      <c r="A232" s="253"/>
      <c r="B232" s="254"/>
      <c r="C232" s="255"/>
      <c r="D232" s="256"/>
      <c r="E232" s="256"/>
      <c r="F232" s="256"/>
      <c r="G232" s="256"/>
      <c r="H232" s="256"/>
      <c r="I232" s="256"/>
      <c r="J232" s="257"/>
      <c r="K232" s="255"/>
      <c r="L232" s="256"/>
      <c r="M232" s="256"/>
      <c r="N232" s="256"/>
      <c r="O232" s="255"/>
      <c r="P232" s="255"/>
      <c r="Q232" s="256"/>
      <c r="R232" s="258"/>
      <c r="S232" s="15"/>
      <c r="T232" s="15"/>
      <c r="U232" s="15"/>
      <c r="V232" s="15"/>
    </row>
    <row r="233" spans="1:22" s="261" customFormat="1">
      <c r="A233" s="253"/>
      <c r="B233" s="317"/>
      <c r="C233" s="318"/>
      <c r="D233" s="319"/>
      <c r="E233" s="319"/>
      <c r="F233" s="319"/>
      <c r="G233" s="319"/>
      <c r="H233" s="319"/>
      <c r="I233" s="319"/>
      <c r="J233" s="320"/>
      <c r="K233" s="318"/>
      <c r="L233" s="319"/>
      <c r="M233" s="319"/>
      <c r="N233" s="319"/>
      <c r="O233" s="318"/>
      <c r="P233" s="321"/>
      <c r="Q233" s="319"/>
      <c r="R233" s="322"/>
      <c r="S233" s="15"/>
      <c r="T233" s="15"/>
      <c r="U233" s="15"/>
      <c r="V233" s="15"/>
    </row>
    <row r="234" spans="1:22">
      <c r="A234" s="253"/>
      <c r="B234" s="234"/>
      <c r="C234" s="249"/>
      <c r="D234" s="250"/>
      <c r="E234" s="250"/>
      <c r="F234" s="250"/>
      <c r="G234" s="250"/>
      <c r="H234" s="250"/>
      <c r="I234" s="250"/>
      <c r="J234" s="251"/>
      <c r="K234" s="249"/>
      <c r="L234" s="250"/>
      <c r="M234" s="250"/>
      <c r="N234" s="250"/>
      <c r="O234" s="249"/>
      <c r="P234" s="249"/>
      <c r="Q234" s="250"/>
      <c r="R234" s="252"/>
      <c r="S234" s="15"/>
      <c r="T234" s="15"/>
      <c r="U234" s="15"/>
      <c r="V234" s="15"/>
    </row>
    <row r="235" spans="1:22">
      <c r="A235" s="253"/>
      <c r="B235" s="254"/>
      <c r="C235" s="255"/>
      <c r="D235" s="256"/>
      <c r="E235" s="256"/>
      <c r="F235" s="256"/>
      <c r="G235" s="256"/>
      <c r="H235" s="256"/>
      <c r="I235" s="256"/>
      <c r="J235" s="257"/>
      <c r="K235" s="255"/>
      <c r="L235" s="256"/>
      <c r="M235" s="256"/>
      <c r="N235" s="256"/>
      <c r="O235" s="255"/>
      <c r="P235" s="255"/>
      <c r="Q235" s="256"/>
      <c r="R235" s="258"/>
      <c r="S235" s="15"/>
      <c r="T235" s="15"/>
      <c r="U235" s="15"/>
      <c r="V235" s="15"/>
    </row>
    <row r="236" spans="1:22" s="261" customFormat="1">
      <c r="A236" s="253"/>
      <c r="B236" s="317"/>
      <c r="C236" s="318"/>
      <c r="D236" s="319"/>
      <c r="E236" s="319"/>
      <c r="F236" s="319"/>
      <c r="G236" s="319"/>
      <c r="H236" s="319"/>
      <c r="I236" s="319"/>
      <c r="J236" s="320"/>
      <c r="K236" s="318"/>
      <c r="L236" s="319"/>
      <c r="M236" s="319"/>
      <c r="N236" s="319"/>
      <c r="O236" s="318"/>
      <c r="P236" s="321"/>
      <c r="Q236" s="319"/>
      <c r="R236" s="322"/>
      <c r="S236" s="15"/>
      <c r="T236" s="15"/>
      <c r="U236" s="15"/>
      <c r="V236" s="15"/>
    </row>
    <row r="237" spans="1:22">
      <c r="A237" s="253"/>
      <c r="B237" s="234"/>
      <c r="C237" s="249"/>
      <c r="D237" s="250"/>
      <c r="E237" s="250"/>
      <c r="F237" s="250"/>
      <c r="G237" s="250"/>
      <c r="H237" s="250"/>
      <c r="I237" s="250"/>
      <c r="J237" s="251"/>
      <c r="K237" s="249"/>
      <c r="L237" s="250"/>
      <c r="M237" s="250"/>
      <c r="N237" s="250"/>
      <c r="O237" s="249"/>
      <c r="P237" s="249"/>
      <c r="Q237" s="250"/>
      <c r="R237" s="252"/>
      <c r="S237" s="15"/>
      <c r="T237" s="15"/>
      <c r="U237" s="15"/>
      <c r="V237" s="15"/>
    </row>
    <row r="238" spans="1:22">
      <c r="A238" s="253"/>
      <c r="B238" s="254"/>
      <c r="C238" s="255"/>
      <c r="D238" s="256"/>
      <c r="E238" s="256"/>
      <c r="F238" s="256"/>
      <c r="G238" s="256"/>
      <c r="H238" s="256"/>
      <c r="I238" s="256"/>
      <c r="J238" s="257"/>
      <c r="K238" s="255"/>
      <c r="L238" s="256"/>
      <c r="M238" s="256"/>
      <c r="N238" s="256"/>
      <c r="O238" s="255"/>
      <c r="P238" s="255"/>
      <c r="Q238" s="256"/>
      <c r="R238" s="258"/>
      <c r="S238" s="15"/>
      <c r="T238" s="15"/>
      <c r="U238" s="15"/>
      <c r="V238" s="15"/>
    </row>
    <row r="239" spans="1:22" s="261" customFormat="1">
      <c r="A239" s="253"/>
      <c r="B239" s="317"/>
      <c r="C239" s="318"/>
      <c r="D239" s="319"/>
      <c r="E239" s="319"/>
      <c r="F239" s="319"/>
      <c r="G239" s="319"/>
      <c r="H239" s="319"/>
      <c r="I239" s="319"/>
      <c r="J239" s="320"/>
      <c r="K239" s="318"/>
      <c r="L239" s="319"/>
      <c r="M239" s="319"/>
      <c r="N239" s="319"/>
      <c r="O239" s="318"/>
      <c r="P239" s="321"/>
      <c r="Q239" s="319"/>
      <c r="R239" s="322"/>
      <c r="S239" s="15"/>
      <c r="T239" s="15"/>
      <c r="U239" s="15"/>
      <c r="V239" s="15"/>
    </row>
    <row r="240" spans="1:22">
      <c r="A240" s="253"/>
      <c r="B240" s="234"/>
      <c r="C240" s="249"/>
      <c r="D240" s="250"/>
      <c r="E240" s="250"/>
      <c r="F240" s="250"/>
      <c r="G240" s="250"/>
      <c r="H240" s="250"/>
      <c r="I240" s="250"/>
      <c r="J240" s="251"/>
      <c r="K240" s="249"/>
      <c r="L240" s="250"/>
      <c r="M240" s="250"/>
      <c r="N240" s="250"/>
      <c r="O240" s="249"/>
      <c r="P240" s="249"/>
      <c r="Q240" s="250"/>
      <c r="R240" s="252"/>
      <c r="S240" s="15"/>
      <c r="T240" s="15"/>
      <c r="U240" s="15"/>
      <c r="V240" s="15"/>
    </row>
    <row r="241" spans="1:22">
      <c r="A241" s="253"/>
      <c r="B241" s="254"/>
      <c r="C241" s="255"/>
      <c r="D241" s="256"/>
      <c r="E241" s="256"/>
      <c r="F241" s="256"/>
      <c r="G241" s="256"/>
      <c r="H241" s="256"/>
      <c r="I241" s="256"/>
      <c r="J241" s="257"/>
      <c r="K241" s="255"/>
      <c r="L241" s="256"/>
      <c r="M241" s="256"/>
      <c r="N241" s="256"/>
      <c r="O241" s="255"/>
      <c r="P241" s="255"/>
      <c r="Q241" s="256"/>
      <c r="R241" s="258"/>
      <c r="S241" s="15"/>
      <c r="T241" s="15"/>
      <c r="U241" s="15"/>
      <c r="V241" s="15"/>
    </row>
    <row r="242" spans="1:22" s="261" customFormat="1">
      <c r="A242" s="253"/>
      <c r="B242" s="317"/>
      <c r="C242" s="318"/>
      <c r="D242" s="319"/>
      <c r="E242" s="319"/>
      <c r="F242" s="319"/>
      <c r="G242" s="319"/>
      <c r="H242" s="319"/>
      <c r="I242" s="319"/>
      <c r="J242" s="320"/>
      <c r="K242" s="318"/>
      <c r="L242" s="319"/>
      <c r="M242" s="319"/>
      <c r="N242" s="319"/>
      <c r="O242" s="318"/>
      <c r="P242" s="321"/>
      <c r="Q242" s="319"/>
      <c r="R242" s="322"/>
      <c r="S242" s="15"/>
      <c r="T242" s="15"/>
      <c r="U242" s="15"/>
      <c r="V242" s="15"/>
    </row>
    <row r="243" spans="1:22">
      <c r="A243" s="253"/>
      <c r="B243" s="234"/>
      <c r="C243" s="249"/>
      <c r="D243" s="250"/>
      <c r="E243" s="250"/>
      <c r="F243" s="250"/>
      <c r="G243" s="250"/>
      <c r="H243" s="250"/>
      <c r="I243" s="250"/>
      <c r="J243" s="251"/>
      <c r="K243" s="249"/>
      <c r="L243" s="250"/>
      <c r="M243" s="250"/>
      <c r="N243" s="250"/>
      <c r="O243" s="249"/>
      <c r="P243" s="249"/>
      <c r="Q243" s="250"/>
      <c r="R243" s="252"/>
      <c r="S243" s="15"/>
      <c r="T243" s="15"/>
      <c r="U243" s="15"/>
      <c r="V243" s="15"/>
    </row>
    <row r="244" spans="1:22">
      <c r="A244" s="253"/>
      <c r="B244" s="254"/>
      <c r="C244" s="255"/>
      <c r="D244" s="256"/>
      <c r="E244" s="256"/>
      <c r="F244" s="256"/>
      <c r="G244" s="256"/>
      <c r="H244" s="256"/>
      <c r="I244" s="256"/>
      <c r="J244" s="257"/>
      <c r="K244" s="255"/>
      <c r="L244" s="256"/>
      <c r="M244" s="256"/>
      <c r="N244" s="256"/>
      <c r="O244" s="255"/>
      <c r="P244" s="255"/>
      <c r="Q244" s="256"/>
      <c r="R244" s="258"/>
      <c r="S244" s="15"/>
      <c r="T244" s="15"/>
      <c r="U244" s="15"/>
      <c r="V244" s="15"/>
    </row>
    <row r="245" spans="1:22" s="261" customFormat="1">
      <c r="A245" s="253"/>
      <c r="B245" s="317"/>
      <c r="C245" s="318"/>
      <c r="D245" s="319"/>
      <c r="E245" s="319"/>
      <c r="F245" s="319"/>
      <c r="G245" s="319"/>
      <c r="H245" s="319"/>
      <c r="I245" s="319"/>
      <c r="J245" s="320"/>
      <c r="K245" s="318"/>
      <c r="L245" s="319"/>
      <c r="M245" s="319"/>
      <c r="N245" s="319"/>
      <c r="O245" s="318"/>
      <c r="P245" s="321"/>
      <c r="Q245" s="319"/>
      <c r="R245" s="322"/>
      <c r="S245" s="15"/>
      <c r="T245" s="15"/>
      <c r="U245" s="15"/>
      <c r="V245" s="15"/>
    </row>
    <row r="246" spans="1:22">
      <c r="A246" s="253"/>
      <c r="B246" s="234"/>
      <c r="C246" s="249"/>
      <c r="D246" s="250"/>
      <c r="E246" s="250"/>
      <c r="F246" s="250"/>
      <c r="G246" s="250"/>
      <c r="H246" s="250"/>
      <c r="I246" s="250"/>
      <c r="J246" s="251"/>
      <c r="K246" s="249"/>
      <c r="L246" s="250"/>
      <c r="M246" s="250"/>
      <c r="N246" s="250"/>
      <c r="O246" s="249"/>
      <c r="P246" s="249"/>
      <c r="Q246" s="250"/>
      <c r="R246" s="252"/>
      <c r="S246" s="15"/>
      <c r="T246" s="15"/>
      <c r="U246" s="15"/>
      <c r="V246" s="15"/>
    </row>
    <row r="247" spans="1:22">
      <c r="A247" s="253"/>
      <c r="B247" s="254"/>
      <c r="C247" s="255"/>
      <c r="D247" s="256"/>
      <c r="E247" s="256"/>
      <c r="F247" s="256"/>
      <c r="G247" s="256"/>
      <c r="H247" s="256"/>
      <c r="I247" s="256"/>
      <c r="J247" s="257"/>
      <c r="K247" s="255"/>
      <c r="L247" s="256"/>
      <c r="M247" s="256"/>
      <c r="N247" s="256"/>
      <c r="O247" s="255"/>
      <c r="P247" s="255"/>
      <c r="Q247" s="256"/>
      <c r="R247" s="258"/>
      <c r="S247" s="15"/>
      <c r="T247" s="15"/>
      <c r="U247" s="15"/>
      <c r="V247" s="15"/>
    </row>
    <row r="248" spans="1:22" s="261" customFormat="1">
      <c r="A248" s="253"/>
      <c r="B248" s="317"/>
      <c r="C248" s="318"/>
      <c r="D248" s="319"/>
      <c r="E248" s="319"/>
      <c r="F248" s="319"/>
      <c r="G248" s="319"/>
      <c r="H248" s="319"/>
      <c r="I248" s="319"/>
      <c r="J248" s="320"/>
      <c r="K248" s="318"/>
      <c r="L248" s="319"/>
      <c r="M248" s="319"/>
      <c r="N248" s="319"/>
      <c r="O248" s="318"/>
      <c r="P248" s="321"/>
      <c r="Q248" s="319"/>
      <c r="R248" s="322"/>
      <c r="S248" s="15"/>
      <c r="T248" s="15"/>
      <c r="U248" s="15"/>
      <c r="V248" s="15"/>
    </row>
    <row r="249" spans="1:22">
      <c r="A249" s="253"/>
      <c r="B249" s="234"/>
      <c r="C249" s="249"/>
      <c r="D249" s="250"/>
      <c r="E249" s="250"/>
      <c r="F249" s="250"/>
      <c r="G249" s="250"/>
      <c r="H249" s="250"/>
      <c r="I249" s="250"/>
      <c r="J249" s="251"/>
      <c r="K249" s="249"/>
      <c r="L249" s="250"/>
      <c r="M249" s="250"/>
      <c r="N249" s="250"/>
      <c r="O249" s="249"/>
      <c r="P249" s="249"/>
      <c r="Q249" s="250"/>
      <c r="R249" s="252"/>
      <c r="S249" s="15"/>
      <c r="T249" s="15"/>
      <c r="U249" s="15"/>
      <c r="V249" s="15"/>
    </row>
    <row r="250" spans="1:22">
      <c r="A250" s="253"/>
      <c r="B250" s="254"/>
      <c r="C250" s="255"/>
      <c r="D250" s="256"/>
      <c r="E250" s="256"/>
      <c r="F250" s="256"/>
      <c r="G250" s="256"/>
      <c r="H250" s="256"/>
      <c r="I250" s="256"/>
      <c r="J250" s="257"/>
      <c r="K250" s="255"/>
      <c r="L250" s="256"/>
      <c r="M250" s="256"/>
      <c r="N250" s="256"/>
      <c r="O250" s="255"/>
      <c r="P250" s="255"/>
      <c r="Q250" s="256"/>
      <c r="R250" s="258"/>
      <c r="S250" s="15"/>
      <c r="T250" s="15"/>
      <c r="U250" s="15"/>
      <c r="V250" s="15"/>
    </row>
    <row r="251" spans="1:22" s="261" customFormat="1">
      <c r="A251" s="253"/>
      <c r="B251" s="317"/>
      <c r="C251" s="318"/>
      <c r="D251" s="319"/>
      <c r="E251" s="319"/>
      <c r="F251" s="319"/>
      <c r="G251" s="319"/>
      <c r="H251" s="319"/>
      <c r="I251" s="319"/>
      <c r="J251" s="320"/>
      <c r="K251" s="318"/>
      <c r="L251" s="319"/>
      <c r="M251" s="319"/>
      <c r="N251" s="319"/>
      <c r="O251" s="318"/>
      <c r="P251" s="321"/>
      <c r="Q251" s="319"/>
      <c r="R251" s="322"/>
      <c r="S251" s="15"/>
      <c r="T251" s="15"/>
      <c r="U251" s="15"/>
      <c r="V251" s="15"/>
    </row>
    <row r="252" spans="1:22">
      <c r="A252" s="253"/>
      <c r="B252" s="234"/>
      <c r="C252" s="249"/>
      <c r="D252" s="250"/>
      <c r="E252" s="250"/>
      <c r="F252" s="250"/>
      <c r="G252" s="250"/>
      <c r="H252" s="250"/>
      <c r="I252" s="250"/>
      <c r="J252" s="251"/>
      <c r="K252" s="249"/>
      <c r="L252" s="250"/>
      <c r="M252" s="250"/>
      <c r="N252" s="250"/>
      <c r="O252" s="249"/>
      <c r="P252" s="249"/>
      <c r="Q252" s="250"/>
      <c r="R252" s="252"/>
      <c r="S252" s="15"/>
      <c r="T252" s="15"/>
      <c r="U252" s="15"/>
      <c r="V252" s="15"/>
    </row>
    <row r="253" spans="1:22">
      <c r="A253" s="253"/>
      <c r="B253" s="254"/>
      <c r="C253" s="255"/>
      <c r="D253" s="256"/>
      <c r="E253" s="256"/>
      <c r="F253" s="256"/>
      <c r="G253" s="256"/>
      <c r="H253" s="256"/>
      <c r="I253" s="256"/>
      <c r="J253" s="257"/>
      <c r="K253" s="255"/>
      <c r="L253" s="256"/>
      <c r="M253" s="256"/>
      <c r="N253" s="256"/>
      <c r="O253" s="255"/>
      <c r="P253" s="255"/>
      <c r="Q253" s="256"/>
      <c r="R253" s="258"/>
      <c r="S253" s="15"/>
      <c r="T253" s="15"/>
      <c r="U253" s="15"/>
      <c r="V253" s="15"/>
    </row>
    <row r="254" spans="1:22" s="261" customFormat="1">
      <c r="A254" s="253"/>
      <c r="B254" s="317"/>
      <c r="C254" s="318"/>
      <c r="D254" s="319"/>
      <c r="E254" s="319"/>
      <c r="F254" s="319"/>
      <c r="G254" s="319"/>
      <c r="H254" s="319"/>
      <c r="I254" s="319"/>
      <c r="J254" s="320"/>
      <c r="K254" s="318"/>
      <c r="L254" s="319"/>
      <c r="M254" s="319"/>
      <c r="N254" s="319"/>
      <c r="O254" s="318"/>
      <c r="P254" s="321"/>
      <c r="Q254" s="319"/>
      <c r="R254" s="322"/>
      <c r="S254" s="15"/>
      <c r="T254" s="15"/>
      <c r="U254" s="15"/>
      <c r="V254" s="15"/>
    </row>
    <row r="255" spans="1:22">
      <c r="A255" s="253"/>
      <c r="B255" s="234"/>
      <c r="C255" s="249"/>
      <c r="D255" s="250"/>
      <c r="E255" s="250"/>
      <c r="F255" s="250"/>
      <c r="G255" s="250"/>
      <c r="H255" s="250"/>
      <c r="I255" s="250"/>
      <c r="J255" s="251"/>
      <c r="K255" s="249"/>
      <c r="L255" s="250"/>
      <c r="M255" s="250"/>
      <c r="N255" s="250"/>
      <c r="O255" s="249"/>
      <c r="P255" s="249"/>
      <c r="Q255" s="250"/>
      <c r="R255" s="252"/>
      <c r="S255" s="15"/>
      <c r="T255" s="15"/>
      <c r="U255" s="15"/>
      <c r="V255" s="15"/>
    </row>
    <row r="256" spans="1:22">
      <c r="A256" s="253"/>
      <c r="B256" s="254"/>
      <c r="C256" s="255"/>
      <c r="D256" s="256"/>
      <c r="E256" s="256"/>
      <c r="F256" s="256"/>
      <c r="G256" s="256"/>
      <c r="H256" s="256"/>
      <c r="I256" s="256"/>
      <c r="J256" s="257"/>
      <c r="K256" s="255"/>
      <c r="L256" s="256"/>
      <c r="M256" s="256"/>
      <c r="N256" s="256"/>
      <c r="O256" s="255"/>
      <c r="P256" s="255"/>
      <c r="Q256" s="256"/>
      <c r="R256" s="258"/>
      <c r="S256" s="15"/>
      <c r="T256" s="15"/>
      <c r="U256" s="15"/>
      <c r="V256" s="15"/>
    </row>
    <row r="257" spans="1:22" s="261" customFormat="1">
      <c r="A257" s="260"/>
      <c r="B257" s="317"/>
      <c r="C257" s="318"/>
      <c r="D257" s="319"/>
      <c r="E257" s="319"/>
      <c r="F257" s="319"/>
      <c r="G257" s="319"/>
      <c r="H257" s="319"/>
      <c r="I257" s="319"/>
      <c r="J257" s="320"/>
      <c r="K257" s="318"/>
      <c r="L257" s="319"/>
      <c r="M257" s="319"/>
      <c r="N257" s="319"/>
      <c r="O257" s="318"/>
      <c r="P257" s="321"/>
      <c r="Q257" s="319"/>
      <c r="R257" s="322"/>
      <c r="S257" s="15"/>
      <c r="T257" s="15"/>
      <c r="U257" s="15"/>
      <c r="V257" s="15"/>
    </row>
    <row r="258" spans="1:22">
      <c r="A258" s="248"/>
      <c r="B258" s="234"/>
      <c r="C258" s="249"/>
      <c r="D258" s="250"/>
      <c r="E258" s="250"/>
      <c r="F258" s="250"/>
      <c r="G258" s="250"/>
      <c r="H258" s="250"/>
      <c r="I258" s="250"/>
      <c r="J258" s="251"/>
      <c r="K258" s="249"/>
      <c r="L258" s="250"/>
      <c r="M258" s="250"/>
      <c r="N258" s="250"/>
      <c r="O258" s="249"/>
      <c r="P258" s="249"/>
      <c r="Q258" s="250"/>
      <c r="R258" s="252"/>
      <c r="S258" s="15"/>
      <c r="T258" s="15"/>
      <c r="U258" s="15"/>
      <c r="V258" s="15"/>
    </row>
    <row r="259" spans="1:22">
      <c r="A259" s="253"/>
      <c r="B259" s="254"/>
      <c r="C259" s="255"/>
      <c r="D259" s="256"/>
      <c r="E259" s="256"/>
      <c r="F259" s="256"/>
      <c r="G259" s="256"/>
      <c r="H259" s="256"/>
      <c r="I259" s="256"/>
      <c r="J259" s="257"/>
      <c r="K259" s="255"/>
      <c r="L259" s="256"/>
      <c r="M259" s="256"/>
      <c r="N259" s="256"/>
      <c r="O259" s="255"/>
      <c r="P259" s="255"/>
      <c r="Q259" s="256"/>
      <c r="R259" s="258"/>
      <c r="S259" s="15"/>
      <c r="T259" s="15"/>
      <c r="U259" s="15"/>
      <c r="V259" s="15"/>
    </row>
    <row r="260" spans="1:22" s="261" customFormat="1">
      <c r="A260" s="253"/>
      <c r="B260" s="317"/>
      <c r="C260" s="318"/>
      <c r="D260" s="319"/>
      <c r="E260" s="319"/>
      <c r="F260" s="319"/>
      <c r="G260" s="319"/>
      <c r="H260" s="319"/>
      <c r="I260" s="319"/>
      <c r="J260" s="320"/>
      <c r="K260" s="318"/>
      <c r="L260" s="319"/>
      <c r="M260" s="319"/>
      <c r="N260" s="319"/>
      <c r="O260" s="318"/>
      <c r="P260" s="321"/>
      <c r="Q260" s="319"/>
      <c r="R260" s="322"/>
      <c r="S260" s="15"/>
      <c r="T260" s="15"/>
      <c r="U260" s="15"/>
      <c r="V260" s="15"/>
    </row>
    <row r="261" spans="1:22">
      <c r="A261" s="253"/>
      <c r="B261" s="234"/>
      <c r="C261" s="249"/>
      <c r="D261" s="250"/>
      <c r="E261" s="250"/>
      <c r="F261" s="250"/>
      <c r="G261" s="250"/>
      <c r="H261" s="250"/>
      <c r="I261" s="250"/>
      <c r="J261" s="251"/>
      <c r="K261" s="249"/>
      <c r="L261" s="250"/>
      <c r="M261" s="250"/>
      <c r="N261" s="250"/>
      <c r="O261" s="249"/>
      <c r="P261" s="249"/>
      <c r="Q261" s="250"/>
      <c r="R261" s="252"/>
      <c r="S261" s="15"/>
      <c r="T261" s="15"/>
      <c r="U261" s="15"/>
      <c r="V261" s="15"/>
    </row>
    <row r="262" spans="1:22">
      <c r="A262" s="253"/>
      <c r="B262" s="254"/>
      <c r="C262" s="255"/>
      <c r="D262" s="256"/>
      <c r="E262" s="256"/>
      <c r="F262" s="256"/>
      <c r="G262" s="256"/>
      <c r="H262" s="256"/>
      <c r="I262" s="256"/>
      <c r="J262" s="257"/>
      <c r="K262" s="255"/>
      <c r="L262" s="256"/>
      <c r="M262" s="256"/>
      <c r="N262" s="256"/>
      <c r="O262" s="255"/>
      <c r="P262" s="255"/>
      <c r="Q262" s="256"/>
      <c r="R262" s="258"/>
      <c r="S262" s="15"/>
      <c r="T262" s="15"/>
      <c r="U262" s="15"/>
      <c r="V262" s="15"/>
    </row>
    <row r="263" spans="1:22" s="261" customFormat="1">
      <c r="A263" s="253"/>
      <c r="B263" s="317"/>
      <c r="C263" s="318"/>
      <c r="D263" s="319"/>
      <c r="E263" s="319"/>
      <c r="F263" s="319"/>
      <c r="G263" s="319"/>
      <c r="H263" s="319"/>
      <c r="I263" s="331"/>
      <c r="J263" s="320"/>
      <c r="K263" s="318"/>
      <c r="L263" s="319"/>
      <c r="M263" s="319"/>
      <c r="N263" s="319"/>
      <c r="O263" s="318"/>
      <c r="P263" s="321"/>
      <c r="Q263" s="319"/>
      <c r="R263" s="322"/>
      <c r="S263" s="15"/>
      <c r="T263" s="15"/>
      <c r="U263" s="15"/>
      <c r="V263" s="15"/>
    </row>
    <row r="264" spans="1:22">
      <c r="A264" s="253"/>
      <c r="B264" s="234"/>
      <c r="C264" s="249"/>
      <c r="D264" s="250"/>
      <c r="E264" s="250"/>
      <c r="F264" s="250"/>
      <c r="G264" s="250"/>
      <c r="H264" s="250"/>
      <c r="I264" s="250"/>
      <c r="J264" s="251"/>
      <c r="K264" s="249"/>
      <c r="L264" s="250"/>
      <c r="M264" s="250"/>
      <c r="N264" s="250"/>
      <c r="O264" s="249"/>
      <c r="P264" s="249"/>
      <c r="Q264" s="250"/>
      <c r="R264" s="252"/>
      <c r="S264" s="15"/>
      <c r="T264" s="15"/>
      <c r="U264" s="15"/>
      <c r="V264" s="15"/>
    </row>
    <row r="265" spans="1:22">
      <c r="A265" s="253"/>
      <c r="B265" s="254"/>
      <c r="C265" s="255"/>
      <c r="D265" s="256"/>
      <c r="E265" s="256"/>
      <c r="F265" s="256"/>
      <c r="G265" s="256"/>
      <c r="H265" s="256"/>
      <c r="I265" s="256"/>
      <c r="J265" s="257"/>
      <c r="K265" s="255"/>
      <c r="L265" s="256"/>
      <c r="M265" s="256"/>
      <c r="N265" s="256"/>
      <c r="O265" s="255"/>
      <c r="P265" s="255"/>
      <c r="Q265" s="256"/>
      <c r="R265" s="258"/>
      <c r="S265" s="15"/>
      <c r="T265" s="15"/>
      <c r="U265" s="15"/>
      <c r="V265" s="15"/>
    </row>
    <row r="266" spans="1:22" s="261" customFormat="1">
      <c r="A266" s="253"/>
      <c r="B266" s="317"/>
      <c r="C266" s="318"/>
      <c r="D266" s="319"/>
      <c r="E266" s="319"/>
      <c r="F266" s="319"/>
      <c r="G266" s="319"/>
      <c r="H266" s="319"/>
      <c r="I266" s="331"/>
      <c r="J266" s="320"/>
      <c r="K266" s="318"/>
      <c r="L266" s="319"/>
      <c r="M266" s="319"/>
      <c r="N266" s="319"/>
      <c r="O266" s="318"/>
      <c r="P266" s="321"/>
      <c r="Q266" s="319"/>
      <c r="R266" s="322"/>
      <c r="S266" s="15"/>
      <c r="T266" s="15"/>
      <c r="U266" s="15"/>
      <c r="V266" s="15"/>
    </row>
    <row r="267" spans="1:22">
      <c r="A267" s="253"/>
      <c r="B267" s="234"/>
      <c r="C267" s="249"/>
      <c r="D267" s="250"/>
      <c r="E267" s="250"/>
      <c r="F267" s="250"/>
      <c r="G267" s="250"/>
      <c r="H267" s="250"/>
      <c r="I267" s="250"/>
      <c r="J267" s="251"/>
      <c r="K267" s="249"/>
      <c r="L267" s="250"/>
      <c r="M267" s="250"/>
      <c r="N267" s="250"/>
      <c r="O267" s="249"/>
      <c r="P267" s="249"/>
      <c r="Q267" s="250"/>
      <c r="R267" s="252"/>
      <c r="S267" s="15"/>
      <c r="T267" s="15"/>
      <c r="U267" s="15"/>
      <c r="V267" s="15"/>
    </row>
    <row r="268" spans="1:22">
      <c r="A268" s="253"/>
      <c r="B268" s="254"/>
      <c r="C268" s="255"/>
      <c r="D268" s="256"/>
      <c r="E268" s="256"/>
      <c r="F268" s="256"/>
      <c r="G268" s="256"/>
      <c r="H268" s="256"/>
      <c r="I268" s="256"/>
      <c r="J268" s="257"/>
      <c r="K268" s="255"/>
      <c r="L268" s="256"/>
      <c r="M268" s="256"/>
      <c r="N268" s="256"/>
      <c r="O268" s="255"/>
      <c r="P268" s="255"/>
      <c r="Q268" s="256"/>
      <c r="R268" s="258"/>
      <c r="S268" s="15"/>
      <c r="T268" s="15"/>
      <c r="U268" s="15"/>
      <c r="V268" s="15"/>
    </row>
    <row r="269" spans="1:22" s="261" customFormat="1">
      <c r="A269" s="253"/>
      <c r="B269" s="317"/>
      <c r="C269" s="318"/>
      <c r="D269" s="319"/>
      <c r="E269" s="319"/>
      <c r="F269" s="319"/>
      <c r="G269" s="319"/>
      <c r="H269" s="319"/>
      <c r="I269" s="319"/>
      <c r="J269" s="320"/>
      <c r="K269" s="318"/>
      <c r="L269" s="319"/>
      <c r="M269" s="319"/>
      <c r="N269" s="319"/>
      <c r="O269" s="318"/>
      <c r="P269" s="321"/>
      <c r="Q269" s="319"/>
      <c r="R269" s="322"/>
      <c r="S269" s="15"/>
      <c r="T269" s="15"/>
      <c r="U269" s="15"/>
      <c r="V269" s="15"/>
    </row>
    <row r="270" spans="1:22">
      <c r="A270" s="253"/>
      <c r="B270" s="234"/>
      <c r="C270" s="249"/>
      <c r="D270" s="250"/>
      <c r="E270" s="250"/>
      <c r="F270" s="250"/>
      <c r="G270" s="250"/>
      <c r="H270" s="250"/>
      <c r="I270" s="250"/>
      <c r="J270" s="251"/>
      <c r="K270" s="249"/>
      <c r="L270" s="250"/>
      <c r="M270" s="250"/>
      <c r="N270" s="250"/>
      <c r="O270" s="249"/>
      <c r="P270" s="249"/>
      <c r="Q270" s="250"/>
      <c r="R270" s="252"/>
      <c r="S270" s="15"/>
      <c r="T270" s="15"/>
      <c r="U270" s="15"/>
      <c r="V270" s="15"/>
    </row>
    <row r="271" spans="1:22">
      <c r="A271" s="253"/>
      <c r="B271" s="254"/>
      <c r="C271" s="255"/>
      <c r="D271" s="256"/>
      <c r="E271" s="256"/>
      <c r="F271" s="256"/>
      <c r="G271" s="256"/>
      <c r="H271" s="256"/>
      <c r="I271" s="256"/>
      <c r="J271" s="257"/>
      <c r="K271" s="255"/>
      <c r="L271" s="256"/>
      <c r="M271" s="256"/>
      <c r="N271" s="256"/>
      <c r="O271" s="255"/>
      <c r="P271" s="255"/>
      <c r="Q271" s="256"/>
      <c r="R271" s="258"/>
      <c r="S271" s="15"/>
      <c r="T271" s="15"/>
      <c r="U271" s="15"/>
      <c r="V271" s="15"/>
    </row>
    <row r="272" spans="1:22" s="261" customFormat="1">
      <c r="A272" s="253"/>
      <c r="B272" s="317"/>
      <c r="C272" s="318"/>
      <c r="D272" s="319"/>
      <c r="E272" s="319"/>
      <c r="F272" s="319"/>
      <c r="G272" s="319"/>
      <c r="H272" s="319"/>
      <c r="I272" s="319"/>
      <c r="J272" s="320"/>
      <c r="K272" s="318"/>
      <c r="L272" s="319"/>
      <c r="M272" s="319"/>
      <c r="N272" s="319"/>
      <c r="O272" s="318"/>
      <c r="P272" s="321"/>
      <c r="Q272" s="319"/>
      <c r="R272" s="322"/>
      <c r="S272" s="15"/>
      <c r="T272" s="15"/>
      <c r="U272" s="15"/>
      <c r="V272" s="15"/>
    </row>
    <row r="273" spans="1:22">
      <c r="A273" s="253"/>
      <c r="B273" s="234"/>
      <c r="C273" s="249"/>
      <c r="D273" s="250"/>
      <c r="E273" s="250"/>
      <c r="F273" s="250"/>
      <c r="G273" s="250"/>
      <c r="H273" s="250"/>
      <c r="I273" s="250"/>
      <c r="J273" s="251"/>
      <c r="K273" s="249"/>
      <c r="L273" s="250"/>
      <c r="M273" s="250"/>
      <c r="N273" s="250"/>
      <c r="O273" s="249"/>
      <c r="P273" s="249"/>
      <c r="Q273" s="250"/>
      <c r="R273" s="252"/>
      <c r="S273" s="15"/>
      <c r="T273" s="15"/>
      <c r="U273" s="15"/>
      <c r="V273" s="15"/>
    </row>
    <row r="274" spans="1:22">
      <c r="A274" s="253"/>
      <c r="B274" s="254"/>
      <c r="C274" s="255"/>
      <c r="D274" s="256"/>
      <c r="E274" s="256"/>
      <c r="F274" s="256"/>
      <c r="G274" s="256"/>
      <c r="H274" s="256"/>
      <c r="I274" s="256"/>
      <c r="J274" s="257"/>
      <c r="K274" s="255"/>
      <c r="L274" s="256"/>
      <c r="M274" s="256"/>
      <c r="N274" s="256"/>
      <c r="O274" s="255"/>
      <c r="P274" s="255"/>
      <c r="Q274" s="256"/>
      <c r="R274" s="258"/>
      <c r="S274" s="15"/>
      <c r="T274" s="15"/>
      <c r="U274" s="15"/>
      <c r="V274" s="15"/>
    </row>
    <row r="275" spans="1:22" s="261" customFormat="1">
      <c r="A275" s="253"/>
      <c r="B275" s="317"/>
      <c r="C275" s="318"/>
      <c r="D275" s="319"/>
      <c r="E275" s="319"/>
      <c r="F275" s="319"/>
      <c r="G275" s="319"/>
      <c r="H275" s="319"/>
      <c r="I275" s="319"/>
      <c r="J275" s="320"/>
      <c r="K275" s="318"/>
      <c r="L275" s="319"/>
      <c r="M275" s="319"/>
      <c r="N275" s="319"/>
      <c r="O275" s="318"/>
      <c r="P275" s="321"/>
      <c r="Q275" s="319"/>
      <c r="R275" s="322"/>
      <c r="S275" s="15"/>
      <c r="T275" s="15"/>
      <c r="U275" s="15"/>
      <c r="V275" s="15"/>
    </row>
    <row r="276" spans="1:22">
      <c r="A276" s="253"/>
      <c r="B276" s="234"/>
      <c r="C276" s="249"/>
      <c r="D276" s="250"/>
      <c r="E276" s="250"/>
      <c r="F276" s="250"/>
      <c r="G276" s="250"/>
      <c r="H276" s="250"/>
      <c r="I276" s="250"/>
      <c r="J276" s="251"/>
      <c r="K276" s="249"/>
      <c r="L276" s="250"/>
      <c r="M276" s="250"/>
      <c r="N276" s="250"/>
      <c r="O276" s="249"/>
      <c r="P276" s="249"/>
      <c r="Q276" s="250"/>
      <c r="R276" s="252"/>
      <c r="S276" s="15"/>
      <c r="T276" s="15"/>
      <c r="U276" s="15"/>
      <c r="V276" s="15"/>
    </row>
    <row r="277" spans="1:22">
      <c r="A277" s="253"/>
      <c r="B277" s="254"/>
      <c r="C277" s="255"/>
      <c r="D277" s="256"/>
      <c r="E277" s="256"/>
      <c r="F277" s="256"/>
      <c r="G277" s="256"/>
      <c r="H277" s="256"/>
      <c r="I277" s="256"/>
      <c r="J277" s="257"/>
      <c r="K277" s="255"/>
      <c r="L277" s="256"/>
      <c r="M277" s="256"/>
      <c r="N277" s="256"/>
      <c r="O277" s="255"/>
      <c r="P277" s="255"/>
      <c r="Q277" s="256"/>
      <c r="R277" s="258"/>
      <c r="S277" s="15"/>
      <c r="T277" s="15"/>
      <c r="U277" s="15"/>
      <c r="V277" s="15"/>
    </row>
    <row r="278" spans="1:22" s="261" customFormat="1">
      <c r="A278" s="253"/>
      <c r="B278" s="317"/>
      <c r="C278" s="318"/>
      <c r="D278" s="319"/>
      <c r="E278" s="319"/>
      <c r="F278" s="331"/>
      <c r="G278" s="319"/>
      <c r="H278" s="319"/>
      <c r="I278" s="319"/>
      <c r="J278" s="320"/>
      <c r="K278" s="318"/>
      <c r="L278" s="319"/>
      <c r="M278" s="319"/>
      <c r="N278" s="319"/>
      <c r="O278" s="318"/>
      <c r="P278" s="321"/>
      <c r="Q278" s="319"/>
      <c r="R278" s="322"/>
      <c r="S278" s="605"/>
      <c r="T278" s="15"/>
      <c r="U278" s="15"/>
      <c r="V278" s="15"/>
    </row>
    <row r="279" spans="1:22">
      <c r="A279" s="253"/>
      <c r="B279" s="234"/>
      <c r="C279" s="249"/>
      <c r="D279" s="250"/>
      <c r="E279" s="250"/>
      <c r="F279" s="250"/>
      <c r="G279" s="250"/>
      <c r="H279" s="250"/>
      <c r="I279" s="250"/>
      <c r="J279" s="251"/>
      <c r="K279" s="249"/>
      <c r="L279" s="250"/>
      <c r="M279" s="250"/>
      <c r="N279" s="250"/>
      <c r="O279" s="249"/>
      <c r="P279" s="249"/>
      <c r="Q279" s="250"/>
      <c r="R279" s="252"/>
      <c r="S279" s="15"/>
      <c r="T279" s="15"/>
      <c r="U279" s="15"/>
      <c r="V279" s="15"/>
    </row>
    <row r="280" spans="1:22">
      <c r="A280" s="253"/>
      <c r="B280" s="254"/>
      <c r="C280" s="255"/>
      <c r="D280" s="256"/>
      <c r="E280" s="256"/>
      <c r="F280" s="256"/>
      <c r="G280" s="256"/>
      <c r="H280" s="256"/>
      <c r="I280" s="256"/>
      <c r="J280" s="257"/>
      <c r="K280" s="255"/>
      <c r="L280" s="256"/>
      <c r="M280" s="256"/>
      <c r="N280" s="256"/>
      <c r="O280" s="255"/>
      <c r="P280" s="255"/>
      <c r="Q280" s="256"/>
      <c r="R280" s="258"/>
      <c r="S280" s="15"/>
      <c r="T280" s="15"/>
      <c r="U280" s="15"/>
      <c r="V280" s="15"/>
    </row>
    <row r="281" spans="1:22" s="261" customFormat="1">
      <c r="A281" s="253"/>
      <c r="B281" s="317"/>
      <c r="C281" s="318"/>
      <c r="D281" s="319"/>
      <c r="E281" s="319"/>
      <c r="F281" s="319"/>
      <c r="G281" s="319"/>
      <c r="H281" s="319"/>
      <c r="I281" s="319"/>
      <c r="J281" s="320"/>
      <c r="K281" s="318"/>
      <c r="L281" s="319"/>
      <c r="M281" s="319"/>
      <c r="N281" s="319"/>
      <c r="O281" s="318"/>
      <c r="P281" s="321"/>
      <c r="Q281" s="319"/>
      <c r="R281" s="322"/>
      <c r="S281" s="15"/>
      <c r="T281" s="15"/>
      <c r="U281" s="15"/>
      <c r="V281" s="15"/>
    </row>
    <row r="282" spans="1:22">
      <c r="A282" s="253"/>
      <c r="B282" s="234"/>
      <c r="C282" s="249"/>
      <c r="D282" s="250"/>
      <c r="E282" s="250"/>
      <c r="F282" s="250"/>
      <c r="G282" s="250"/>
      <c r="H282" s="250"/>
      <c r="I282" s="250"/>
      <c r="J282" s="251"/>
      <c r="K282" s="249"/>
      <c r="L282" s="250"/>
      <c r="M282" s="250"/>
      <c r="N282" s="250"/>
      <c r="O282" s="249"/>
      <c r="P282" s="249"/>
      <c r="Q282" s="250"/>
      <c r="R282" s="252"/>
      <c r="S282" s="15"/>
      <c r="T282" s="15"/>
      <c r="U282" s="15"/>
      <c r="V282" s="15"/>
    </row>
    <row r="283" spans="1:22">
      <c r="A283" s="253"/>
      <c r="B283" s="254"/>
      <c r="C283" s="255"/>
      <c r="D283" s="256"/>
      <c r="E283" s="256"/>
      <c r="F283" s="256"/>
      <c r="G283" s="256"/>
      <c r="H283" s="256"/>
      <c r="I283" s="256"/>
      <c r="J283" s="257"/>
      <c r="K283" s="255"/>
      <c r="L283" s="256"/>
      <c r="M283" s="256"/>
      <c r="N283" s="256"/>
      <c r="O283" s="255"/>
      <c r="P283" s="255"/>
      <c r="Q283" s="256"/>
      <c r="R283" s="258"/>
      <c r="S283" s="15"/>
      <c r="T283" s="15"/>
      <c r="U283" s="15"/>
      <c r="V283" s="15"/>
    </row>
    <row r="284" spans="1:22" s="261" customFormat="1">
      <c r="A284" s="253"/>
      <c r="B284" s="317"/>
      <c r="C284" s="318"/>
      <c r="D284" s="319"/>
      <c r="E284" s="319"/>
      <c r="F284" s="331"/>
      <c r="G284" s="319"/>
      <c r="H284" s="319"/>
      <c r="I284" s="319"/>
      <c r="J284" s="320"/>
      <c r="K284" s="318"/>
      <c r="L284" s="319"/>
      <c r="M284" s="319"/>
      <c r="N284" s="319"/>
      <c r="O284" s="318"/>
      <c r="P284" s="321"/>
      <c r="Q284" s="319"/>
      <c r="R284" s="322"/>
      <c r="S284" s="15"/>
      <c r="T284" s="15"/>
      <c r="U284" s="15"/>
      <c r="V284" s="15"/>
    </row>
    <row r="285" spans="1:22">
      <c r="A285" s="253"/>
      <c r="B285" s="234"/>
      <c r="C285" s="249"/>
      <c r="D285" s="250"/>
      <c r="E285" s="250"/>
      <c r="F285" s="250"/>
      <c r="G285" s="250"/>
      <c r="H285" s="250"/>
      <c r="I285" s="250"/>
      <c r="J285" s="251"/>
      <c r="K285" s="249"/>
      <c r="L285" s="250"/>
      <c r="M285" s="250"/>
      <c r="N285" s="250"/>
      <c r="O285" s="249"/>
      <c r="P285" s="249"/>
      <c r="Q285" s="250"/>
      <c r="R285" s="252"/>
      <c r="S285" s="15"/>
      <c r="T285" s="15"/>
      <c r="U285" s="15"/>
      <c r="V285" s="15"/>
    </row>
    <row r="286" spans="1:22">
      <c r="A286" s="253"/>
      <c r="B286" s="254"/>
      <c r="C286" s="255"/>
      <c r="D286" s="256"/>
      <c r="E286" s="256"/>
      <c r="F286" s="256"/>
      <c r="G286" s="256"/>
      <c r="H286" s="256"/>
      <c r="I286" s="256"/>
      <c r="J286" s="257"/>
      <c r="K286" s="255"/>
      <c r="L286" s="256"/>
      <c r="M286" s="256"/>
      <c r="N286" s="256"/>
      <c r="O286" s="255"/>
      <c r="P286" s="255"/>
      <c r="Q286" s="256"/>
      <c r="R286" s="258"/>
      <c r="S286" s="15"/>
      <c r="T286" s="15"/>
      <c r="U286" s="15"/>
      <c r="V286" s="15"/>
    </row>
    <row r="287" spans="1:22" s="261" customFormat="1">
      <c r="A287" s="253"/>
      <c r="B287" s="317"/>
      <c r="C287" s="318"/>
      <c r="D287" s="319"/>
      <c r="E287" s="319"/>
      <c r="F287" s="319"/>
      <c r="G287" s="319"/>
      <c r="H287" s="319"/>
      <c r="I287" s="319"/>
      <c r="J287" s="320"/>
      <c r="K287" s="318"/>
      <c r="L287" s="319"/>
      <c r="M287" s="319"/>
      <c r="N287" s="319"/>
      <c r="O287" s="318"/>
      <c r="P287" s="321"/>
      <c r="Q287" s="319"/>
      <c r="R287" s="322"/>
      <c r="S287" s="15"/>
      <c r="T287" s="15"/>
      <c r="U287" s="15"/>
      <c r="V287" s="15"/>
    </row>
    <row r="288" spans="1:22">
      <c r="A288" s="253"/>
      <c r="B288" s="234"/>
      <c r="C288" s="249"/>
      <c r="D288" s="250"/>
      <c r="E288" s="250"/>
      <c r="F288" s="250"/>
      <c r="G288" s="250"/>
      <c r="H288" s="250"/>
      <c r="I288" s="250"/>
      <c r="J288" s="251"/>
      <c r="K288" s="249"/>
      <c r="L288" s="250"/>
      <c r="M288" s="250"/>
      <c r="N288" s="250"/>
      <c r="O288" s="249"/>
      <c r="P288" s="249"/>
      <c r="Q288" s="250"/>
      <c r="R288" s="252"/>
      <c r="S288" s="15"/>
      <c r="T288" s="15"/>
      <c r="U288" s="15"/>
      <c r="V288" s="15"/>
    </row>
    <row r="289" spans="1:22">
      <c r="A289" s="253"/>
      <c r="B289" s="254"/>
      <c r="C289" s="255"/>
      <c r="D289" s="256"/>
      <c r="E289" s="256"/>
      <c r="F289" s="256"/>
      <c r="G289" s="256"/>
      <c r="H289" s="256"/>
      <c r="I289" s="256"/>
      <c r="J289" s="257"/>
      <c r="K289" s="255"/>
      <c r="L289" s="256"/>
      <c r="M289" s="256"/>
      <c r="N289" s="256"/>
      <c r="O289" s="255"/>
      <c r="P289" s="255"/>
      <c r="Q289" s="256"/>
      <c r="R289" s="258"/>
      <c r="S289" s="15"/>
      <c r="T289" s="15"/>
      <c r="U289" s="15"/>
      <c r="V289" s="15"/>
    </row>
    <row r="290" spans="1:22" s="261" customFormat="1">
      <c r="A290" s="253"/>
      <c r="B290" s="317"/>
      <c r="C290" s="318"/>
      <c r="D290" s="319"/>
      <c r="E290" s="319"/>
      <c r="F290" s="319"/>
      <c r="G290" s="319"/>
      <c r="H290" s="319"/>
      <c r="I290" s="319"/>
      <c r="J290" s="320"/>
      <c r="K290" s="318"/>
      <c r="L290" s="319"/>
      <c r="M290" s="319"/>
      <c r="N290" s="319"/>
      <c r="O290" s="318"/>
      <c r="P290" s="321"/>
      <c r="Q290" s="319"/>
      <c r="R290" s="322"/>
      <c r="S290" s="15"/>
      <c r="T290" s="15"/>
      <c r="U290" s="15"/>
      <c r="V290" s="15"/>
    </row>
    <row r="291" spans="1:22">
      <c r="A291" s="253"/>
      <c r="B291" s="234"/>
      <c r="C291" s="249"/>
      <c r="D291" s="250"/>
      <c r="E291" s="250"/>
      <c r="F291" s="250"/>
      <c r="G291" s="250"/>
      <c r="H291" s="250"/>
      <c r="I291" s="250"/>
      <c r="J291" s="251"/>
      <c r="K291" s="249"/>
      <c r="L291" s="250"/>
      <c r="M291" s="250"/>
      <c r="N291" s="250"/>
      <c r="O291" s="249"/>
      <c r="P291" s="249"/>
      <c r="Q291" s="250"/>
      <c r="R291" s="252"/>
      <c r="S291" s="15"/>
      <c r="T291" s="15"/>
      <c r="U291" s="15"/>
      <c r="V291" s="15"/>
    </row>
    <row r="292" spans="1:22">
      <c r="A292" s="253"/>
      <c r="B292" s="254"/>
      <c r="C292" s="255"/>
      <c r="D292" s="256"/>
      <c r="E292" s="256"/>
      <c r="F292" s="256"/>
      <c r="G292" s="256"/>
      <c r="H292" s="256"/>
      <c r="I292" s="256"/>
      <c r="J292" s="257"/>
      <c r="K292" s="255"/>
      <c r="L292" s="256"/>
      <c r="M292" s="256"/>
      <c r="N292" s="256"/>
      <c r="O292" s="255"/>
      <c r="P292" s="255"/>
      <c r="Q292" s="256"/>
      <c r="R292" s="258"/>
      <c r="S292" s="15"/>
      <c r="T292" s="15"/>
      <c r="U292" s="15"/>
      <c r="V292" s="15"/>
    </row>
    <row r="293" spans="1:22" s="261" customFormat="1">
      <c r="A293" s="260"/>
      <c r="B293" s="317"/>
      <c r="C293" s="318"/>
      <c r="D293" s="319"/>
      <c r="E293" s="319"/>
      <c r="F293" s="319"/>
      <c r="G293" s="319"/>
      <c r="H293" s="319"/>
      <c r="I293" s="319"/>
      <c r="J293" s="320"/>
      <c r="K293" s="318"/>
      <c r="L293" s="319"/>
      <c r="M293" s="319"/>
      <c r="N293" s="319"/>
      <c r="O293" s="318"/>
      <c r="P293" s="321"/>
      <c r="Q293" s="319"/>
      <c r="R293" s="322"/>
      <c r="S293" s="15"/>
      <c r="T293" s="15"/>
      <c r="U293" s="15"/>
      <c r="V293" s="15"/>
    </row>
    <row r="294" spans="1:22">
      <c r="A294" s="248"/>
      <c r="B294" s="234"/>
      <c r="C294" s="249"/>
      <c r="D294" s="250"/>
      <c r="E294" s="250"/>
      <c r="F294" s="250"/>
      <c r="G294" s="250"/>
      <c r="H294" s="250"/>
      <c r="I294" s="250"/>
      <c r="J294" s="251"/>
      <c r="K294" s="249"/>
      <c r="L294" s="250"/>
      <c r="M294" s="250"/>
      <c r="N294" s="250"/>
      <c r="O294" s="249"/>
      <c r="P294" s="249"/>
      <c r="Q294" s="250"/>
      <c r="R294" s="252"/>
      <c r="S294" s="15"/>
      <c r="T294" s="15"/>
      <c r="U294" s="15"/>
      <c r="V294" s="15"/>
    </row>
    <row r="295" spans="1:22">
      <c r="A295" s="253"/>
      <c r="B295" s="254"/>
      <c r="C295" s="255"/>
      <c r="D295" s="256"/>
      <c r="E295" s="256"/>
      <c r="F295" s="256"/>
      <c r="G295" s="256"/>
      <c r="H295" s="256"/>
      <c r="I295" s="256"/>
      <c r="J295" s="257"/>
      <c r="K295" s="255"/>
      <c r="L295" s="256"/>
      <c r="M295" s="256"/>
      <c r="N295" s="256"/>
      <c r="O295" s="255"/>
      <c r="P295" s="255"/>
      <c r="Q295" s="256"/>
      <c r="R295" s="258"/>
      <c r="S295" s="15"/>
      <c r="T295" s="15"/>
      <c r="U295" s="15"/>
      <c r="V295" s="15"/>
    </row>
    <row r="296" spans="1:22">
      <c r="A296" s="253"/>
      <c r="B296" s="317"/>
      <c r="C296" s="318"/>
      <c r="D296" s="319"/>
      <c r="E296" s="319"/>
      <c r="F296" s="319"/>
      <c r="G296" s="331"/>
      <c r="H296" s="319"/>
      <c r="I296" s="319"/>
      <c r="J296" s="320"/>
      <c r="K296" s="318"/>
      <c r="L296" s="331"/>
      <c r="M296" s="331"/>
      <c r="N296" s="331"/>
      <c r="O296" s="332"/>
      <c r="P296" s="321"/>
      <c r="Q296" s="319"/>
      <c r="R296" s="322"/>
      <c r="S296" s="605"/>
      <c r="T296" s="15"/>
      <c r="U296" s="15"/>
      <c r="V296" s="15"/>
    </row>
    <row r="297" spans="1:22">
      <c r="A297" s="253"/>
      <c r="B297" s="234"/>
      <c r="C297" s="249"/>
      <c r="D297" s="250"/>
      <c r="E297" s="250"/>
      <c r="F297" s="250"/>
      <c r="G297" s="250"/>
      <c r="H297" s="250"/>
      <c r="I297" s="250"/>
      <c r="J297" s="251"/>
      <c r="K297" s="249"/>
      <c r="L297" s="250"/>
      <c r="M297" s="250"/>
      <c r="N297" s="250"/>
      <c r="O297" s="249"/>
      <c r="P297" s="249"/>
      <c r="Q297" s="250"/>
      <c r="R297" s="252"/>
      <c r="S297" s="15"/>
      <c r="T297" s="15"/>
      <c r="U297" s="15"/>
      <c r="V297" s="15"/>
    </row>
    <row r="298" spans="1:22">
      <c r="A298" s="253"/>
      <c r="B298" s="254"/>
      <c r="C298" s="255"/>
      <c r="D298" s="256"/>
      <c r="E298" s="256"/>
      <c r="F298" s="256"/>
      <c r="G298" s="256"/>
      <c r="H298" s="256"/>
      <c r="I298" s="256"/>
      <c r="J298" s="257"/>
      <c r="K298" s="255"/>
      <c r="L298" s="256"/>
      <c r="M298" s="256"/>
      <c r="N298" s="256"/>
      <c r="O298" s="255"/>
      <c r="P298" s="255"/>
      <c r="Q298" s="256"/>
      <c r="R298" s="258"/>
      <c r="S298" s="15"/>
      <c r="T298" s="15"/>
      <c r="U298" s="15"/>
      <c r="V298" s="15"/>
    </row>
    <row r="299" spans="1:22">
      <c r="A299" s="253"/>
      <c r="B299" s="317"/>
      <c r="C299" s="318"/>
      <c r="D299" s="319"/>
      <c r="E299" s="319"/>
      <c r="F299" s="319"/>
      <c r="G299" s="319"/>
      <c r="H299" s="319"/>
      <c r="I299" s="319"/>
      <c r="J299" s="320"/>
      <c r="K299" s="318"/>
      <c r="L299" s="319"/>
      <c r="M299" s="319"/>
      <c r="N299" s="319"/>
      <c r="O299" s="318"/>
      <c r="P299" s="321"/>
      <c r="Q299" s="319"/>
      <c r="R299" s="322"/>
      <c r="S299" s="15"/>
      <c r="T299" s="15"/>
      <c r="U299" s="15"/>
      <c r="V299" s="15"/>
    </row>
    <row r="300" spans="1:22">
      <c r="A300" s="253"/>
      <c r="B300" s="234"/>
      <c r="C300" s="249"/>
      <c r="D300" s="250"/>
      <c r="E300" s="250"/>
      <c r="F300" s="250"/>
      <c r="G300" s="250"/>
      <c r="H300" s="250"/>
      <c r="I300" s="250"/>
      <c r="J300" s="251"/>
      <c r="K300" s="249"/>
      <c r="L300" s="250"/>
      <c r="M300" s="250"/>
      <c r="N300" s="250"/>
      <c r="O300" s="249"/>
      <c r="P300" s="249"/>
      <c r="Q300" s="250"/>
      <c r="R300" s="252"/>
      <c r="S300" s="15"/>
      <c r="T300" s="15"/>
      <c r="U300" s="15"/>
      <c r="V300" s="15"/>
    </row>
    <row r="301" spans="1:22">
      <c r="A301" s="253"/>
      <c r="B301" s="254"/>
      <c r="C301" s="255"/>
      <c r="D301" s="256"/>
      <c r="E301" s="256"/>
      <c r="F301" s="256"/>
      <c r="G301" s="256"/>
      <c r="H301" s="256"/>
      <c r="I301" s="256"/>
      <c r="J301" s="257"/>
      <c r="K301" s="255"/>
      <c r="L301" s="256"/>
      <c r="M301" s="256"/>
      <c r="N301" s="256"/>
      <c r="O301" s="255"/>
      <c r="P301" s="255"/>
      <c r="Q301" s="256"/>
      <c r="R301" s="258"/>
      <c r="S301" s="15"/>
      <c r="T301" s="15"/>
      <c r="U301" s="15"/>
      <c r="V301" s="15"/>
    </row>
    <row r="302" spans="1:22">
      <c r="A302" s="253"/>
      <c r="B302" s="317"/>
      <c r="C302" s="318"/>
      <c r="D302" s="319"/>
      <c r="E302" s="319"/>
      <c r="F302" s="319"/>
      <c r="G302" s="331"/>
      <c r="H302" s="319"/>
      <c r="I302" s="319"/>
      <c r="J302" s="320"/>
      <c r="K302" s="318"/>
      <c r="L302" s="319"/>
      <c r="M302" s="319"/>
      <c r="N302" s="319"/>
      <c r="O302" s="318"/>
      <c r="P302" s="321"/>
      <c r="Q302" s="319"/>
      <c r="R302" s="322"/>
      <c r="S302" s="15"/>
      <c r="T302" s="15"/>
      <c r="U302" s="15"/>
      <c r="V302" s="15"/>
    </row>
    <row r="303" spans="1:22">
      <c r="A303" s="253"/>
      <c r="B303" s="234"/>
      <c r="C303" s="249"/>
      <c r="D303" s="250"/>
      <c r="E303" s="250"/>
      <c r="F303" s="250"/>
      <c r="G303" s="250"/>
      <c r="H303" s="250"/>
      <c r="I303" s="250"/>
      <c r="J303" s="251"/>
      <c r="K303" s="249"/>
      <c r="L303" s="250"/>
      <c r="M303" s="250"/>
      <c r="N303" s="250"/>
      <c r="O303" s="249"/>
      <c r="P303" s="249"/>
      <c r="Q303" s="250"/>
      <c r="R303" s="252"/>
      <c r="S303" s="15"/>
      <c r="T303" s="15"/>
      <c r="U303" s="15"/>
      <c r="V303" s="15"/>
    </row>
    <row r="304" spans="1:22">
      <c r="A304" s="253"/>
      <c r="B304" s="254"/>
      <c r="C304" s="255"/>
      <c r="D304" s="256"/>
      <c r="E304" s="256"/>
      <c r="F304" s="256"/>
      <c r="G304" s="256"/>
      <c r="H304" s="256"/>
      <c r="I304" s="256"/>
      <c r="J304" s="257"/>
      <c r="K304" s="255"/>
      <c r="L304" s="256"/>
      <c r="M304" s="256"/>
      <c r="N304" s="256"/>
      <c r="O304" s="255"/>
      <c r="P304" s="255"/>
      <c r="Q304" s="256"/>
      <c r="R304" s="258"/>
      <c r="S304" s="15"/>
      <c r="T304" s="15"/>
      <c r="U304" s="15"/>
      <c r="V304" s="15"/>
    </row>
    <row r="305" spans="1:22">
      <c r="A305" s="253"/>
      <c r="B305" s="317"/>
      <c r="C305" s="318"/>
      <c r="D305" s="319"/>
      <c r="E305" s="319"/>
      <c r="F305" s="319"/>
      <c r="G305" s="319"/>
      <c r="H305" s="319"/>
      <c r="I305" s="319"/>
      <c r="J305" s="320"/>
      <c r="K305" s="318"/>
      <c r="L305" s="319"/>
      <c r="M305" s="319"/>
      <c r="N305" s="319"/>
      <c r="O305" s="318"/>
      <c r="P305" s="321"/>
      <c r="Q305" s="319"/>
      <c r="R305" s="322"/>
      <c r="S305" s="15"/>
      <c r="T305" s="15"/>
      <c r="U305" s="15"/>
      <c r="V305" s="15"/>
    </row>
    <row r="306" spans="1:22">
      <c r="A306" s="253"/>
      <c r="B306" s="234"/>
      <c r="C306" s="249"/>
      <c r="D306" s="250"/>
      <c r="E306" s="250"/>
      <c r="F306" s="250"/>
      <c r="G306" s="250"/>
      <c r="H306" s="250"/>
      <c r="I306" s="250"/>
      <c r="J306" s="251"/>
      <c r="K306" s="249"/>
      <c r="L306" s="250"/>
      <c r="M306" s="250"/>
      <c r="N306" s="250"/>
      <c r="O306" s="249"/>
      <c r="P306" s="249"/>
      <c r="Q306" s="250"/>
      <c r="R306" s="252"/>
      <c r="S306" s="15"/>
      <c r="T306" s="15"/>
      <c r="U306" s="15"/>
      <c r="V306" s="15"/>
    </row>
    <row r="307" spans="1:22">
      <c r="A307" s="253"/>
      <c r="B307" s="254"/>
      <c r="C307" s="255"/>
      <c r="D307" s="256"/>
      <c r="E307" s="256"/>
      <c r="F307" s="256"/>
      <c r="G307" s="256"/>
      <c r="H307" s="256"/>
      <c r="I307" s="256"/>
      <c r="J307" s="257"/>
      <c r="K307" s="255"/>
      <c r="L307" s="256"/>
      <c r="M307" s="256"/>
      <c r="N307" s="256"/>
      <c r="O307" s="255"/>
      <c r="P307" s="255"/>
      <c r="Q307" s="256"/>
      <c r="R307" s="258"/>
      <c r="S307" s="15"/>
      <c r="T307" s="15"/>
      <c r="U307" s="15"/>
      <c r="V307" s="15"/>
    </row>
    <row r="308" spans="1:22">
      <c r="A308" s="253"/>
      <c r="B308" s="317"/>
      <c r="C308" s="318"/>
      <c r="D308" s="319"/>
      <c r="E308" s="319"/>
      <c r="F308" s="319"/>
      <c r="G308" s="319"/>
      <c r="H308" s="319"/>
      <c r="I308" s="319"/>
      <c r="J308" s="320"/>
      <c r="K308" s="318"/>
      <c r="L308" s="319"/>
      <c r="M308" s="319"/>
      <c r="N308" s="319"/>
      <c r="O308" s="318"/>
      <c r="P308" s="321"/>
      <c r="Q308" s="319"/>
      <c r="R308" s="322"/>
      <c r="S308" s="15"/>
      <c r="T308" s="15"/>
      <c r="U308" s="15"/>
      <c r="V308" s="15"/>
    </row>
    <row r="309" spans="1:22">
      <c r="A309" s="253"/>
      <c r="B309" s="234"/>
      <c r="C309" s="249"/>
      <c r="D309" s="250"/>
      <c r="E309" s="250"/>
      <c r="F309" s="250"/>
      <c r="G309" s="250"/>
      <c r="H309" s="250"/>
      <c r="I309" s="250"/>
      <c r="J309" s="251"/>
      <c r="K309" s="249"/>
      <c r="L309" s="250"/>
      <c r="M309" s="250"/>
      <c r="N309" s="250"/>
      <c r="O309" s="249"/>
      <c r="P309" s="249"/>
      <c r="Q309" s="250"/>
      <c r="R309" s="252"/>
      <c r="S309" s="15"/>
      <c r="T309" s="15"/>
      <c r="U309" s="15"/>
      <c r="V309" s="15"/>
    </row>
    <row r="310" spans="1:22">
      <c r="A310" s="253"/>
      <c r="B310" s="254"/>
      <c r="C310" s="255"/>
      <c r="D310" s="256"/>
      <c r="E310" s="256"/>
      <c r="F310" s="256"/>
      <c r="G310" s="256"/>
      <c r="H310" s="256"/>
      <c r="I310" s="256"/>
      <c r="J310" s="257"/>
      <c r="K310" s="255"/>
      <c r="L310" s="256"/>
      <c r="M310" s="256"/>
      <c r="N310" s="256"/>
      <c r="O310" s="255"/>
      <c r="P310" s="255"/>
      <c r="Q310" s="256"/>
      <c r="R310" s="258"/>
      <c r="S310" s="15"/>
      <c r="T310" s="15"/>
      <c r="U310" s="15"/>
      <c r="V310" s="15"/>
    </row>
    <row r="311" spans="1:22">
      <c r="A311" s="253"/>
      <c r="B311" s="317"/>
      <c r="C311" s="318"/>
      <c r="D311" s="319"/>
      <c r="E311" s="319"/>
      <c r="F311" s="319"/>
      <c r="G311" s="319"/>
      <c r="H311" s="319"/>
      <c r="I311" s="319"/>
      <c r="J311" s="320"/>
      <c r="K311" s="318"/>
      <c r="L311" s="319"/>
      <c r="M311" s="319"/>
      <c r="N311" s="319"/>
      <c r="O311" s="318"/>
      <c r="P311" s="321"/>
      <c r="Q311" s="319"/>
      <c r="R311" s="322"/>
      <c r="S311" s="15"/>
      <c r="T311" s="15"/>
      <c r="U311" s="15"/>
      <c r="V311" s="15"/>
    </row>
    <row r="312" spans="1:22">
      <c r="A312" s="253"/>
      <c r="B312" s="234"/>
      <c r="C312" s="249"/>
      <c r="D312" s="250"/>
      <c r="E312" s="250"/>
      <c r="F312" s="250"/>
      <c r="G312" s="250"/>
      <c r="H312" s="250"/>
      <c r="I312" s="250"/>
      <c r="J312" s="251"/>
      <c r="K312" s="249"/>
      <c r="L312" s="250"/>
      <c r="M312" s="250"/>
      <c r="N312" s="250"/>
      <c r="O312" s="249"/>
      <c r="P312" s="249"/>
      <c r="Q312" s="250"/>
      <c r="R312" s="252"/>
      <c r="S312" s="15"/>
      <c r="T312" s="15"/>
      <c r="U312" s="15"/>
      <c r="V312" s="15"/>
    </row>
    <row r="313" spans="1:22">
      <c r="A313" s="253"/>
      <c r="B313" s="254"/>
      <c r="C313" s="255"/>
      <c r="D313" s="256"/>
      <c r="E313" s="256"/>
      <c r="F313" s="256"/>
      <c r="G313" s="256"/>
      <c r="H313" s="256"/>
      <c r="I313" s="256"/>
      <c r="J313" s="257"/>
      <c r="K313" s="255"/>
      <c r="L313" s="256"/>
      <c r="M313" s="256"/>
      <c r="N313" s="256"/>
      <c r="O313" s="255"/>
      <c r="P313" s="255"/>
      <c r="Q313" s="256"/>
      <c r="R313" s="258"/>
      <c r="S313" s="15"/>
      <c r="T313" s="15"/>
      <c r="U313" s="15"/>
      <c r="V313" s="15"/>
    </row>
    <row r="314" spans="1:22">
      <c r="A314" s="253"/>
      <c r="B314" s="317"/>
      <c r="C314" s="318"/>
      <c r="D314" s="319"/>
      <c r="E314" s="319"/>
      <c r="F314" s="319"/>
      <c r="G314" s="319"/>
      <c r="H314" s="319"/>
      <c r="I314" s="319"/>
      <c r="J314" s="320"/>
      <c r="K314" s="318"/>
      <c r="L314" s="319"/>
      <c r="M314" s="319"/>
      <c r="N314" s="319"/>
      <c r="O314" s="318"/>
      <c r="P314" s="321"/>
      <c r="Q314" s="319"/>
      <c r="R314" s="322"/>
      <c r="S314" s="15"/>
      <c r="T314" s="15"/>
      <c r="U314" s="15"/>
      <c r="V314" s="15"/>
    </row>
    <row r="315" spans="1:22">
      <c r="A315" s="253"/>
      <c r="B315" s="234"/>
      <c r="C315" s="249"/>
      <c r="D315" s="250"/>
      <c r="E315" s="250"/>
      <c r="F315" s="250"/>
      <c r="G315" s="250"/>
      <c r="H315" s="250"/>
      <c r="I315" s="250"/>
      <c r="J315" s="251"/>
      <c r="K315" s="249"/>
      <c r="L315" s="250"/>
      <c r="M315" s="250"/>
      <c r="N315" s="250"/>
      <c r="O315" s="249"/>
      <c r="P315" s="249"/>
      <c r="Q315" s="250"/>
      <c r="R315" s="252"/>
      <c r="S315" s="15"/>
      <c r="T315" s="15"/>
      <c r="U315" s="15"/>
      <c r="V315" s="15"/>
    </row>
    <row r="316" spans="1:22">
      <c r="A316" s="253"/>
      <c r="B316" s="254"/>
      <c r="C316" s="255"/>
      <c r="D316" s="256"/>
      <c r="E316" s="256"/>
      <c r="F316" s="256"/>
      <c r="G316" s="256"/>
      <c r="H316" s="256"/>
      <c r="I316" s="256"/>
      <c r="J316" s="257"/>
      <c r="K316" s="255"/>
      <c r="L316" s="256"/>
      <c r="M316" s="256"/>
      <c r="N316" s="256"/>
      <c r="O316" s="255"/>
      <c r="P316" s="255"/>
      <c r="Q316" s="256"/>
      <c r="R316" s="258"/>
      <c r="S316" s="15"/>
      <c r="T316" s="15"/>
      <c r="U316" s="15"/>
      <c r="V316" s="15"/>
    </row>
    <row r="317" spans="1:22">
      <c r="A317" s="253"/>
      <c r="B317" s="317"/>
      <c r="C317" s="318"/>
      <c r="D317" s="331"/>
      <c r="E317" s="319"/>
      <c r="F317" s="319"/>
      <c r="G317" s="319"/>
      <c r="H317" s="319"/>
      <c r="I317" s="319"/>
      <c r="J317" s="320"/>
      <c r="K317" s="318"/>
      <c r="L317" s="319"/>
      <c r="M317" s="319"/>
      <c r="N317" s="319"/>
      <c r="O317" s="318"/>
      <c r="P317" s="321"/>
      <c r="Q317" s="319"/>
      <c r="R317" s="322"/>
      <c r="S317" s="15"/>
      <c r="T317" s="15"/>
      <c r="U317" s="15"/>
      <c r="V317" s="15"/>
    </row>
    <row r="318" spans="1:22">
      <c r="A318" s="253"/>
      <c r="B318" s="234"/>
      <c r="C318" s="249"/>
      <c r="D318" s="250"/>
      <c r="E318" s="250"/>
      <c r="F318" s="250"/>
      <c r="G318" s="250"/>
      <c r="H318" s="250"/>
      <c r="I318" s="250"/>
      <c r="J318" s="251"/>
      <c r="K318" s="249"/>
      <c r="L318" s="250"/>
      <c r="M318" s="250"/>
      <c r="N318" s="250"/>
      <c r="O318" s="249"/>
      <c r="P318" s="249"/>
      <c r="Q318" s="250"/>
      <c r="R318" s="252"/>
      <c r="S318" s="15"/>
      <c r="T318" s="15"/>
      <c r="U318" s="15"/>
      <c r="V318" s="15"/>
    </row>
    <row r="319" spans="1:22">
      <c r="A319" s="253"/>
      <c r="B319" s="254"/>
      <c r="C319" s="255"/>
      <c r="D319" s="256"/>
      <c r="E319" s="256"/>
      <c r="F319" s="256"/>
      <c r="G319" s="256"/>
      <c r="H319" s="256"/>
      <c r="I319" s="256"/>
      <c r="J319" s="257"/>
      <c r="K319" s="255"/>
      <c r="L319" s="256"/>
      <c r="M319" s="256"/>
      <c r="N319" s="256"/>
      <c r="O319" s="255"/>
      <c r="P319" s="255"/>
      <c r="Q319" s="256"/>
      <c r="R319" s="258"/>
      <c r="S319" s="15"/>
      <c r="T319" s="15"/>
      <c r="U319" s="15"/>
      <c r="V319" s="15"/>
    </row>
    <row r="320" spans="1:22">
      <c r="A320" s="253"/>
      <c r="B320" s="317"/>
      <c r="C320" s="318"/>
      <c r="D320" s="319"/>
      <c r="E320" s="319"/>
      <c r="F320" s="319"/>
      <c r="G320" s="319"/>
      <c r="H320" s="319"/>
      <c r="I320" s="319"/>
      <c r="J320" s="320"/>
      <c r="K320" s="318"/>
      <c r="L320" s="319"/>
      <c r="M320" s="319"/>
      <c r="N320" s="319"/>
      <c r="O320" s="318"/>
      <c r="P320" s="321"/>
      <c r="Q320" s="319"/>
      <c r="R320" s="322"/>
      <c r="S320" s="15"/>
      <c r="T320" s="15"/>
      <c r="U320" s="15"/>
      <c r="V320" s="15"/>
    </row>
    <row r="321" spans="1:22">
      <c r="A321" s="253"/>
      <c r="B321" s="234"/>
      <c r="C321" s="249"/>
      <c r="D321" s="250"/>
      <c r="E321" s="250"/>
      <c r="F321" s="250"/>
      <c r="G321" s="250"/>
      <c r="H321" s="250"/>
      <c r="I321" s="250"/>
      <c r="J321" s="251"/>
      <c r="K321" s="249"/>
      <c r="L321" s="250"/>
      <c r="M321" s="250"/>
      <c r="N321" s="250"/>
      <c r="O321" s="249"/>
      <c r="P321" s="249"/>
      <c r="Q321" s="250"/>
      <c r="R321" s="252"/>
      <c r="S321" s="15"/>
      <c r="T321" s="15"/>
      <c r="U321" s="15"/>
      <c r="V321" s="15"/>
    </row>
    <row r="322" spans="1:22">
      <c r="A322" s="253"/>
      <c r="B322" s="254"/>
      <c r="C322" s="255"/>
      <c r="D322" s="256"/>
      <c r="E322" s="256"/>
      <c r="F322" s="256"/>
      <c r="G322" s="256"/>
      <c r="H322" s="256"/>
      <c r="I322" s="256"/>
      <c r="J322" s="257"/>
      <c r="K322" s="255"/>
      <c r="L322" s="256"/>
      <c r="M322" s="256"/>
      <c r="N322" s="256"/>
      <c r="O322" s="255"/>
      <c r="P322" s="255"/>
      <c r="Q322" s="256"/>
      <c r="R322" s="258"/>
      <c r="S322" s="15"/>
      <c r="T322" s="15"/>
      <c r="U322" s="15"/>
      <c r="V322" s="15"/>
    </row>
    <row r="323" spans="1:22">
      <c r="A323" s="253"/>
      <c r="B323" s="317"/>
      <c r="C323" s="318"/>
      <c r="D323" s="319"/>
      <c r="E323" s="319"/>
      <c r="F323" s="319"/>
      <c r="G323" s="319"/>
      <c r="H323" s="319"/>
      <c r="I323" s="319"/>
      <c r="J323" s="320"/>
      <c r="K323" s="318"/>
      <c r="L323" s="319"/>
      <c r="M323" s="319"/>
      <c r="N323" s="319"/>
      <c r="O323" s="318"/>
      <c r="P323" s="321"/>
      <c r="Q323" s="319"/>
      <c r="R323" s="322"/>
      <c r="S323" s="15"/>
      <c r="T323" s="15"/>
      <c r="U323" s="15"/>
      <c r="V323" s="15"/>
    </row>
    <row r="324" spans="1:22">
      <c r="A324" s="253"/>
      <c r="B324" s="234"/>
      <c r="C324" s="249"/>
      <c r="D324" s="250"/>
      <c r="E324" s="250"/>
      <c r="F324" s="250"/>
      <c r="G324" s="250"/>
      <c r="H324" s="250"/>
      <c r="I324" s="250"/>
      <c r="J324" s="251"/>
      <c r="K324" s="249"/>
      <c r="L324" s="250"/>
      <c r="M324" s="250"/>
      <c r="N324" s="250"/>
      <c r="O324" s="249"/>
      <c r="P324" s="249"/>
      <c r="Q324" s="250"/>
      <c r="R324" s="252"/>
      <c r="S324" s="15"/>
      <c r="T324" s="15"/>
      <c r="U324" s="15"/>
      <c r="V324" s="15"/>
    </row>
    <row r="325" spans="1:22">
      <c r="A325" s="253"/>
      <c r="B325" s="254"/>
      <c r="C325" s="255"/>
      <c r="D325" s="256"/>
      <c r="E325" s="256"/>
      <c r="F325" s="256"/>
      <c r="G325" s="256"/>
      <c r="H325" s="256"/>
      <c r="I325" s="256"/>
      <c r="J325" s="257"/>
      <c r="K325" s="255"/>
      <c r="L325" s="256"/>
      <c r="M325" s="256"/>
      <c r="N325" s="256"/>
      <c r="O325" s="255"/>
      <c r="P325" s="255"/>
      <c r="Q325" s="256"/>
      <c r="R325" s="258"/>
      <c r="S325" s="15"/>
      <c r="T325" s="15"/>
      <c r="U325" s="15"/>
      <c r="V325" s="15"/>
    </row>
    <row r="326" spans="1:22">
      <c r="A326" s="253"/>
      <c r="B326" s="317"/>
      <c r="C326" s="318"/>
      <c r="D326" s="319"/>
      <c r="E326" s="319"/>
      <c r="F326" s="319"/>
      <c r="G326" s="319"/>
      <c r="H326" s="319"/>
      <c r="I326" s="319"/>
      <c r="J326" s="320"/>
      <c r="K326" s="318"/>
      <c r="L326" s="319"/>
      <c r="M326" s="319"/>
      <c r="N326" s="319"/>
      <c r="O326" s="318"/>
      <c r="P326" s="321"/>
      <c r="Q326" s="319"/>
      <c r="R326" s="322"/>
      <c r="S326" s="15"/>
      <c r="T326" s="15"/>
      <c r="U326" s="15"/>
      <c r="V326" s="15"/>
    </row>
    <row r="327" spans="1:22">
      <c r="A327" s="253"/>
      <c r="B327" s="234"/>
      <c r="C327" s="249"/>
      <c r="D327" s="250"/>
      <c r="E327" s="250"/>
      <c r="F327" s="250"/>
      <c r="G327" s="250"/>
      <c r="H327" s="250"/>
      <c r="I327" s="250"/>
      <c r="J327" s="251"/>
      <c r="K327" s="249"/>
      <c r="L327" s="250"/>
      <c r="M327" s="250"/>
      <c r="N327" s="250"/>
      <c r="O327" s="249"/>
      <c r="P327" s="249"/>
      <c r="Q327" s="250"/>
      <c r="R327" s="252"/>
      <c r="S327" s="15"/>
      <c r="T327" s="15"/>
      <c r="U327" s="15"/>
      <c r="V327" s="15"/>
    </row>
    <row r="328" spans="1:22">
      <c r="A328" s="253"/>
      <c r="B328" s="254"/>
      <c r="C328" s="255"/>
      <c r="D328" s="256"/>
      <c r="E328" s="256"/>
      <c r="F328" s="256"/>
      <c r="G328" s="256"/>
      <c r="H328" s="256"/>
      <c r="I328" s="256"/>
      <c r="J328" s="257"/>
      <c r="K328" s="255"/>
      <c r="L328" s="256"/>
      <c r="M328" s="256"/>
      <c r="N328" s="256"/>
      <c r="O328" s="255"/>
      <c r="P328" s="255"/>
      <c r="Q328" s="256"/>
      <c r="R328" s="258"/>
      <c r="S328" s="15"/>
      <c r="T328" s="15"/>
      <c r="U328" s="15"/>
      <c r="V328" s="15"/>
    </row>
    <row r="329" spans="1:22">
      <c r="A329" s="260"/>
      <c r="B329" s="317"/>
      <c r="C329" s="318"/>
      <c r="D329" s="319"/>
      <c r="E329" s="319"/>
      <c r="F329" s="319"/>
      <c r="G329" s="319"/>
      <c r="H329" s="319"/>
      <c r="I329" s="319"/>
      <c r="J329" s="320"/>
      <c r="K329" s="318"/>
      <c r="L329" s="319"/>
      <c r="M329" s="319"/>
      <c r="N329" s="319"/>
      <c r="O329" s="318"/>
      <c r="P329" s="321"/>
      <c r="Q329" s="319"/>
      <c r="R329" s="322"/>
      <c r="S329" s="15"/>
      <c r="T329" s="15"/>
      <c r="U329" s="15"/>
      <c r="V329" s="15"/>
    </row>
    <row r="330" spans="1:22">
      <c r="A330" s="248"/>
      <c r="B330" s="234"/>
      <c r="C330" s="249"/>
      <c r="D330" s="250"/>
      <c r="E330" s="250"/>
      <c r="F330" s="250"/>
      <c r="G330" s="250"/>
      <c r="H330" s="250"/>
      <c r="I330" s="250"/>
      <c r="J330" s="251"/>
      <c r="K330" s="249"/>
      <c r="L330" s="250"/>
      <c r="M330" s="250"/>
      <c r="N330" s="250"/>
      <c r="O330" s="249"/>
      <c r="P330" s="249"/>
      <c r="Q330" s="250"/>
      <c r="R330" s="252"/>
      <c r="S330" s="15"/>
      <c r="T330" s="15"/>
      <c r="U330" s="15"/>
      <c r="V330" s="15"/>
    </row>
    <row r="331" spans="1:22">
      <c r="A331" s="253"/>
      <c r="B331" s="254"/>
      <c r="C331" s="255"/>
      <c r="D331" s="256"/>
      <c r="E331" s="256"/>
      <c r="F331" s="256"/>
      <c r="G331" s="256"/>
      <c r="H331" s="256"/>
      <c r="I331" s="256"/>
      <c r="J331" s="257"/>
      <c r="K331" s="255"/>
      <c r="L331" s="256"/>
      <c r="M331" s="256"/>
      <c r="N331" s="256"/>
      <c r="O331" s="255"/>
      <c r="P331" s="255"/>
      <c r="Q331" s="256"/>
      <c r="R331" s="258"/>
      <c r="S331" s="15"/>
      <c r="T331" s="15"/>
      <c r="U331" s="15"/>
      <c r="V331" s="15"/>
    </row>
    <row r="332" spans="1:22">
      <c r="A332" s="253"/>
      <c r="B332" s="317"/>
      <c r="C332" s="318"/>
      <c r="D332" s="319"/>
      <c r="E332" s="319"/>
      <c r="F332" s="319"/>
      <c r="G332" s="319"/>
      <c r="H332" s="319"/>
      <c r="I332" s="319"/>
      <c r="J332" s="320"/>
      <c r="K332" s="318"/>
      <c r="L332" s="319"/>
      <c r="M332" s="319"/>
      <c r="N332" s="319"/>
      <c r="O332" s="318"/>
      <c r="P332" s="321"/>
      <c r="Q332" s="319"/>
      <c r="R332" s="322"/>
      <c r="S332" s="15"/>
      <c r="T332" s="15"/>
      <c r="U332" s="15"/>
      <c r="V332" s="15"/>
    </row>
    <row r="333" spans="1:22">
      <c r="A333" s="253"/>
      <c r="B333" s="234"/>
      <c r="C333" s="249"/>
      <c r="D333" s="250"/>
      <c r="E333" s="250"/>
      <c r="F333" s="250"/>
      <c r="G333" s="250"/>
      <c r="H333" s="250"/>
      <c r="I333" s="250"/>
      <c r="J333" s="251"/>
      <c r="K333" s="249"/>
      <c r="L333" s="250"/>
      <c r="M333" s="250"/>
      <c r="N333" s="250"/>
      <c r="O333" s="249"/>
      <c r="P333" s="249"/>
      <c r="Q333" s="250"/>
      <c r="R333" s="252"/>
      <c r="S333" s="15"/>
      <c r="T333" s="15"/>
      <c r="U333" s="15"/>
      <c r="V333" s="15"/>
    </row>
    <row r="334" spans="1:22">
      <c r="A334" s="253"/>
      <c r="B334" s="254"/>
      <c r="C334" s="255"/>
      <c r="D334" s="256"/>
      <c r="E334" s="256"/>
      <c r="F334" s="256"/>
      <c r="G334" s="256"/>
      <c r="H334" s="256"/>
      <c r="I334" s="256"/>
      <c r="J334" s="257"/>
      <c r="K334" s="255"/>
      <c r="L334" s="256"/>
      <c r="M334" s="256"/>
      <c r="N334" s="256"/>
      <c r="O334" s="255"/>
      <c r="P334" s="255"/>
      <c r="Q334" s="256"/>
      <c r="R334" s="258"/>
      <c r="S334" s="15"/>
      <c r="T334" s="15"/>
      <c r="U334" s="15"/>
      <c r="V334" s="15"/>
    </row>
    <row r="335" spans="1:22">
      <c r="A335" s="253"/>
      <c r="B335" s="317"/>
      <c r="C335" s="318"/>
      <c r="D335" s="319"/>
      <c r="E335" s="319"/>
      <c r="F335" s="319"/>
      <c r="G335" s="319"/>
      <c r="H335" s="319"/>
      <c r="I335" s="319"/>
      <c r="J335" s="320"/>
      <c r="K335" s="318"/>
      <c r="L335" s="319"/>
      <c r="M335" s="319"/>
      <c r="N335" s="319"/>
      <c r="O335" s="318"/>
      <c r="P335" s="321"/>
      <c r="Q335" s="319"/>
      <c r="R335" s="322"/>
      <c r="S335" s="15"/>
      <c r="T335" s="15"/>
      <c r="U335" s="15"/>
      <c r="V335" s="15"/>
    </row>
    <row r="336" spans="1:22">
      <c r="A336" s="253"/>
      <c r="B336" s="234"/>
      <c r="C336" s="249"/>
      <c r="D336" s="250"/>
      <c r="E336" s="250"/>
      <c r="F336" s="250"/>
      <c r="G336" s="250"/>
      <c r="H336" s="250"/>
      <c r="I336" s="250"/>
      <c r="J336" s="251"/>
      <c r="K336" s="249"/>
      <c r="L336" s="250"/>
      <c r="M336" s="250"/>
      <c r="N336" s="250"/>
      <c r="O336" s="249"/>
      <c r="P336" s="249"/>
      <c r="Q336" s="250"/>
      <c r="R336" s="252"/>
      <c r="S336" s="15"/>
      <c r="T336" s="15"/>
      <c r="U336" s="15"/>
      <c r="V336" s="15"/>
    </row>
    <row r="337" spans="1:22">
      <c r="A337" s="253"/>
      <c r="B337" s="254"/>
      <c r="C337" s="255"/>
      <c r="D337" s="256"/>
      <c r="E337" s="256"/>
      <c r="F337" s="256"/>
      <c r="G337" s="256"/>
      <c r="H337" s="256"/>
      <c r="I337" s="256"/>
      <c r="J337" s="257"/>
      <c r="K337" s="255"/>
      <c r="L337" s="256"/>
      <c r="M337" s="256"/>
      <c r="N337" s="256"/>
      <c r="O337" s="255"/>
      <c r="P337" s="255"/>
      <c r="Q337" s="256"/>
      <c r="R337" s="258"/>
      <c r="S337" s="15"/>
      <c r="T337" s="15"/>
      <c r="U337" s="15"/>
      <c r="V337" s="15"/>
    </row>
    <row r="338" spans="1:22">
      <c r="A338" s="253"/>
      <c r="B338" s="317"/>
      <c r="C338" s="318"/>
      <c r="D338" s="319"/>
      <c r="E338" s="319"/>
      <c r="F338" s="319"/>
      <c r="G338" s="319"/>
      <c r="H338" s="319"/>
      <c r="I338" s="319"/>
      <c r="J338" s="320"/>
      <c r="K338" s="318"/>
      <c r="L338" s="319"/>
      <c r="M338" s="319"/>
      <c r="N338" s="319"/>
      <c r="O338" s="318"/>
      <c r="P338" s="321"/>
      <c r="Q338" s="319"/>
      <c r="R338" s="322"/>
      <c r="S338" s="15"/>
      <c r="T338" s="15"/>
      <c r="U338" s="15"/>
      <c r="V338" s="15"/>
    </row>
    <row r="339" spans="1:22">
      <c r="A339" s="253"/>
      <c r="B339" s="234"/>
      <c r="C339" s="249"/>
      <c r="D339" s="250"/>
      <c r="E339" s="250"/>
      <c r="F339" s="250"/>
      <c r="G339" s="250"/>
      <c r="H339" s="250"/>
      <c r="I339" s="250"/>
      <c r="J339" s="251"/>
      <c r="K339" s="249"/>
      <c r="L339" s="250"/>
      <c r="M339" s="250"/>
      <c r="N339" s="250"/>
      <c r="O339" s="249"/>
      <c r="P339" s="249"/>
      <c r="Q339" s="250"/>
      <c r="R339" s="252"/>
      <c r="S339" s="15"/>
      <c r="T339" s="15"/>
      <c r="U339" s="15"/>
      <c r="V339" s="15"/>
    </row>
    <row r="340" spans="1:22">
      <c r="A340" s="253"/>
      <c r="B340" s="254"/>
      <c r="C340" s="255"/>
      <c r="D340" s="256"/>
      <c r="E340" s="256"/>
      <c r="F340" s="256"/>
      <c r="G340" s="256"/>
      <c r="H340" s="256"/>
      <c r="I340" s="256"/>
      <c r="J340" s="257"/>
      <c r="K340" s="255"/>
      <c r="L340" s="256"/>
      <c r="M340" s="256"/>
      <c r="N340" s="256"/>
      <c r="O340" s="255"/>
      <c r="P340" s="255"/>
      <c r="Q340" s="256"/>
      <c r="R340" s="258"/>
      <c r="S340" s="15"/>
      <c r="T340" s="15"/>
      <c r="U340" s="15"/>
      <c r="V340" s="15"/>
    </row>
    <row r="341" spans="1:22">
      <c r="A341" s="253"/>
      <c r="B341" s="317"/>
      <c r="C341" s="318"/>
      <c r="D341" s="319"/>
      <c r="E341" s="319"/>
      <c r="F341" s="319"/>
      <c r="G341" s="319"/>
      <c r="H341" s="319"/>
      <c r="I341" s="319"/>
      <c r="J341" s="320"/>
      <c r="K341" s="318"/>
      <c r="L341" s="319"/>
      <c r="M341" s="319"/>
      <c r="N341" s="319"/>
      <c r="O341" s="318"/>
      <c r="P341" s="321"/>
      <c r="Q341" s="319"/>
      <c r="R341" s="322"/>
      <c r="S341" s="15"/>
      <c r="T341" s="15"/>
      <c r="U341" s="15"/>
      <c r="V341" s="15"/>
    </row>
    <row r="342" spans="1:22">
      <c r="A342" s="253"/>
      <c r="B342" s="234"/>
      <c r="C342" s="249"/>
      <c r="D342" s="250"/>
      <c r="E342" s="250"/>
      <c r="F342" s="250"/>
      <c r="G342" s="250"/>
      <c r="H342" s="250"/>
      <c r="I342" s="250"/>
      <c r="J342" s="251"/>
      <c r="K342" s="249"/>
      <c r="L342" s="250"/>
      <c r="M342" s="250"/>
      <c r="N342" s="250"/>
      <c r="O342" s="249"/>
      <c r="P342" s="249"/>
      <c r="Q342" s="250"/>
      <c r="R342" s="252"/>
      <c r="S342" s="15"/>
      <c r="T342" s="15"/>
      <c r="U342" s="15"/>
      <c r="V342" s="15"/>
    </row>
    <row r="343" spans="1:22">
      <c r="A343" s="253"/>
      <c r="B343" s="254"/>
      <c r="C343" s="255"/>
      <c r="D343" s="256"/>
      <c r="E343" s="256"/>
      <c r="F343" s="256"/>
      <c r="G343" s="256"/>
      <c r="H343" s="256"/>
      <c r="I343" s="256"/>
      <c r="J343" s="257"/>
      <c r="K343" s="255"/>
      <c r="L343" s="256"/>
      <c r="M343" s="256"/>
      <c r="N343" s="256"/>
      <c r="O343" s="255"/>
      <c r="P343" s="255"/>
      <c r="Q343" s="256"/>
      <c r="R343" s="258"/>
      <c r="S343" s="15"/>
      <c r="T343" s="15"/>
      <c r="U343" s="15"/>
      <c r="V343" s="15"/>
    </row>
    <row r="344" spans="1:22">
      <c r="A344" s="253"/>
      <c r="B344" s="317"/>
      <c r="C344" s="318"/>
      <c r="D344" s="319"/>
      <c r="E344" s="319"/>
      <c r="F344" s="319"/>
      <c r="G344" s="319"/>
      <c r="H344" s="319"/>
      <c r="I344" s="319"/>
      <c r="J344" s="320"/>
      <c r="K344" s="318"/>
      <c r="L344" s="319"/>
      <c r="M344" s="319"/>
      <c r="N344" s="319"/>
      <c r="O344" s="318"/>
      <c r="P344" s="321"/>
      <c r="Q344" s="319"/>
      <c r="R344" s="322"/>
      <c r="S344" s="15"/>
      <c r="T344" s="15"/>
      <c r="U344" s="15"/>
      <c r="V344" s="15"/>
    </row>
    <row r="345" spans="1:22">
      <c r="A345" s="253"/>
      <c r="B345" s="234"/>
      <c r="C345" s="249"/>
      <c r="D345" s="250"/>
      <c r="E345" s="250"/>
      <c r="F345" s="250"/>
      <c r="G345" s="250"/>
      <c r="H345" s="250"/>
      <c r="I345" s="250"/>
      <c r="J345" s="251"/>
      <c r="K345" s="249"/>
      <c r="L345" s="250"/>
      <c r="M345" s="250"/>
      <c r="N345" s="250"/>
      <c r="O345" s="249"/>
      <c r="P345" s="249"/>
      <c r="Q345" s="250"/>
      <c r="R345" s="252"/>
      <c r="S345" s="15"/>
      <c r="T345" s="15"/>
      <c r="U345" s="15"/>
      <c r="V345" s="15"/>
    </row>
    <row r="346" spans="1:22">
      <c r="A346" s="253"/>
      <c r="B346" s="254"/>
      <c r="C346" s="255"/>
      <c r="D346" s="256"/>
      <c r="E346" s="256"/>
      <c r="F346" s="256"/>
      <c r="G346" s="256"/>
      <c r="H346" s="256"/>
      <c r="I346" s="256"/>
      <c r="J346" s="257"/>
      <c r="K346" s="255"/>
      <c r="L346" s="256"/>
      <c r="M346" s="256"/>
      <c r="N346" s="256"/>
      <c r="O346" s="255"/>
      <c r="P346" s="255"/>
      <c r="Q346" s="256"/>
      <c r="R346" s="258"/>
      <c r="S346" s="15"/>
      <c r="T346" s="15"/>
      <c r="U346" s="15"/>
      <c r="V346" s="15"/>
    </row>
    <row r="347" spans="1:22">
      <c r="A347" s="253"/>
      <c r="B347" s="317"/>
      <c r="C347" s="318"/>
      <c r="D347" s="319"/>
      <c r="E347" s="319"/>
      <c r="F347" s="319"/>
      <c r="G347" s="319"/>
      <c r="H347" s="319"/>
      <c r="I347" s="319"/>
      <c r="J347" s="320"/>
      <c r="K347" s="318"/>
      <c r="L347" s="319"/>
      <c r="M347" s="319"/>
      <c r="N347" s="319"/>
      <c r="O347" s="318"/>
      <c r="P347" s="321"/>
      <c r="Q347" s="319"/>
      <c r="R347" s="322"/>
      <c r="S347" s="15"/>
      <c r="T347" s="15"/>
      <c r="U347" s="15"/>
      <c r="V347" s="15"/>
    </row>
    <row r="348" spans="1:22">
      <c r="A348" s="253"/>
      <c r="B348" s="234"/>
      <c r="C348" s="249"/>
      <c r="D348" s="250"/>
      <c r="E348" s="250"/>
      <c r="F348" s="250"/>
      <c r="G348" s="250"/>
      <c r="H348" s="250"/>
      <c r="I348" s="250"/>
      <c r="J348" s="251"/>
      <c r="K348" s="249"/>
      <c r="L348" s="250"/>
      <c r="M348" s="250"/>
      <c r="N348" s="250"/>
      <c r="O348" s="249"/>
      <c r="P348" s="249"/>
      <c r="Q348" s="250"/>
      <c r="R348" s="252"/>
      <c r="S348" s="15"/>
      <c r="T348" s="15"/>
      <c r="U348" s="15"/>
      <c r="V348" s="15"/>
    </row>
    <row r="349" spans="1:22">
      <c r="A349" s="253"/>
      <c r="B349" s="254"/>
      <c r="C349" s="255"/>
      <c r="D349" s="256"/>
      <c r="E349" s="256"/>
      <c r="F349" s="256"/>
      <c r="G349" s="256"/>
      <c r="H349" s="256"/>
      <c r="I349" s="256"/>
      <c r="J349" s="257"/>
      <c r="K349" s="255"/>
      <c r="L349" s="256"/>
      <c r="M349" s="256"/>
      <c r="N349" s="256"/>
      <c r="O349" s="255"/>
      <c r="P349" s="255"/>
      <c r="Q349" s="256"/>
      <c r="R349" s="258"/>
      <c r="S349" s="15"/>
      <c r="T349" s="15"/>
      <c r="U349" s="15"/>
      <c r="V349" s="15"/>
    </row>
    <row r="350" spans="1:22">
      <c r="A350" s="253"/>
      <c r="B350" s="317"/>
      <c r="C350" s="318"/>
      <c r="D350" s="319"/>
      <c r="E350" s="319"/>
      <c r="F350" s="319"/>
      <c r="G350" s="331"/>
      <c r="H350" s="331"/>
      <c r="I350" s="319"/>
      <c r="J350" s="320"/>
      <c r="K350" s="318"/>
      <c r="L350" s="319"/>
      <c r="M350" s="319"/>
      <c r="N350" s="319"/>
      <c r="O350" s="318"/>
      <c r="P350" s="321"/>
      <c r="Q350" s="319"/>
      <c r="R350" s="322"/>
      <c r="S350" s="15"/>
      <c r="T350" s="15"/>
      <c r="U350" s="15"/>
      <c r="V350" s="15"/>
    </row>
    <row r="351" spans="1:22">
      <c r="A351" s="253"/>
      <c r="B351" s="234"/>
      <c r="C351" s="249"/>
      <c r="D351" s="250"/>
      <c r="E351" s="250"/>
      <c r="F351" s="250"/>
      <c r="G351" s="250"/>
      <c r="H351" s="250"/>
      <c r="I351" s="250"/>
      <c r="J351" s="251"/>
      <c r="K351" s="249"/>
      <c r="L351" s="250"/>
      <c r="M351" s="250"/>
      <c r="N351" s="250"/>
      <c r="O351" s="249"/>
      <c r="P351" s="249"/>
      <c r="Q351" s="250"/>
      <c r="R351" s="252"/>
      <c r="S351" s="15"/>
      <c r="T351" s="15"/>
      <c r="U351" s="15"/>
      <c r="V351" s="15"/>
    </row>
    <row r="352" spans="1:22">
      <c r="A352" s="253"/>
      <c r="B352" s="254"/>
      <c r="C352" s="255"/>
      <c r="D352" s="256"/>
      <c r="E352" s="256"/>
      <c r="F352" s="256"/>
      <c r="G352" s="256"/>
      <c r="H352" s="256"/>
      <c r="I352" s="256"/>
      <c r="J352" s="257"/>
      <c r="K352" s="255"/>
      <c r="L352" s="256"/>
      <c r="M352" s="256"/>
      <c r="N352" s="256"/>
      <c r="O352" s="255"/>
      <c r="P352" s="255"/>
      <c r="Q352" s="256"/>
      <c r="R352" s="258"/>
      <c r="S352" s="15"/>
      <c r="T352" s="15"/>
      <c r="U352" s="15"/>
      <c r="V352" s="15"/>
    </row>
    <row r="353" spans="1:22">
      <c r="A353" s="253"/>
      <c r="B353" s="317"/>
      <c r="C353" s="318"/>
      <c r="D353" s="319"/>
      <c r="E353" s="319"/>
      <c r="F353" s="319"/>
      <c r="G353" s="319"/>
      <c r="H353" s="319"/>
      <c r="I353" s="319"/>
      <c r="J353" s="320"/>
      <c r="K353" s="318"/>
      <c r="L353" s="319"/>
      <c r="M353" s="319"/>
      <c r="N353" s="319"/>
      <c r="O353" s="318"/>
      <c r="P353" s="321"/>
      <c r="Q353" s="319"/>
      <c r="R353" s="322"/>
      <c r="S353" s="15"/>
      <c r="T353" s="15"/>
      <c r="U353" s="15"/>
      <c r="V353" s="15"/>
    </row>
    <row r="354" spans="1:22">
      <c r="A354" s="253"/>
      <c r="B354" s="234"/>
      <c r="C354" s="249"/>
      <c r="D354" s="250"/>
      <c r="E354" s="250"/>
      <c r="F354" s="250"/>
      <c r="G354" s="250"/>
      <c r="H354" s="250"/>
      <c r="I354" s="250"/>
      <c r="J354" s="251"/>
      <c r="K354" s="249"/>
      <c r="L354" s="250"/>
      <c r="M354" s="250"/>
      <c r="N354" s="250"/>
      <c r="O354" s="249"/>
      <c r="P354" s="249"/>
      <c r="Q354" s="250"/>
      <c r="R354" s="252"/>
      <c r="S354" s="15"/>
      <c r="T354" s="15"/>
      <c r="U354" s="15"/>
      <c r="V354" s="15"/>
    </row>
    <row r="355" spans="1:22">
      <c r="A355" s="253"/>
      <c r="B355" s="254"/>
      <c r="C355" s="255"/>
      <c r="D355" s="256"/>
      <c r="E355" s="256"/>
      <c r="F355" s="256"/>
      <c r="G355" s="256"/>
      <c r="H355" s="256"/>
      <c r="I355" s="256"/>
      <c r="J355" s="257"/>
      <c r="K355" s="255"/>
      <c r="L355" s="256"/>
      <c r="M355" s="256"/>
      <c r="N355" s="256"/>
      <c r="O355" s="255"/>
      <c r="P355" s="255"/>
      <c r="Q355" s="256"/>
      <c r="R355" s="258"/>
      <c r="S355" s="15"/>
      <c r="T355" s="15"/>
      <c r="U355" s="15"/>
      <c r="V355" s="15"/>
    </row>
    <row r="356" spans="1:22">
      <c r="A356" s="253"/>
      <c r="B356" s="317"/>
      <c r="C356" s="318"/>
      <c r="D356" s="319"/>
      <c r="E356" s="319"/>
      <c r="F356" s="319"/>
      <c r="G356" s="331"/>
      <c r="H356" s="331"/>
      <c r="I356" s="319"/>
      <c r="J356" s="320"/>
      <c r="K356" s="318"/>
      <c r="L356" s="319"/>
      <c r="M356" s="319"/>
      <c r="N356" s="319"/>
      <c r="O356" s="318"/>
      <c r="P356" s="321"/>
      <c r="Q356" s="319"/>
      <c r="R356" s="322"/>
      <c r="S356" s="15"/>
      <c r="T356" s="15"/>
      <c r="U356" s="15"/>
      <c r="V356" s="15"/>
    </row>
    <row r="357" spans="1:22">
      <c r="A357" s="253"/>
      <c r="B357" s="234"/>
      <c r="C357" s="249"/>
      <c r="D357" s="250"/>
      <c r="E357" s="250"/>
      <c r="F357" s="250"/>
      <c r="G357" s="250"/>
      <c r="H357" s="250"/>
      <c r="I357" s="250"/>
      <c r="J357" s="251"/>
      <c r="K357" s="249"/>
      <c r="L357" s="250"/>
      <c r="M357" s="250"/>
      <c r="N357" s="250"/>
      <c r="O357" s="249"/>
      <c r="P357" s="249"/>
      <c r="Q357" s="250"/>
      <c r="R357" s="252"/>
      <c r="S357" s="15"/>
      <c r="T357" s="15"/>
      <c r="U357" s="15"/>
      <c r="V357" s="15"/>
    </row>
    <row r="358" spans="1:22">
      <c r="A358" s="253"/>
      <c r="B358" s="254"/>
      <c r="C358" s="255"/>
      <c r="D358" s="256"/>
      <c r="E358" s="256"/>
      <c r="F358" s="256"/>
      <c r="G358" s="256"/>
      <c r="H358" s="256"/>
      <c r="I358" s="256"/>
      <c r="J358" s="257"/>
      <c r="K358" s="255"/>
      <c r="L358" s="256"/>
      <c r="M358" s="256"/>
      <c r="N358" s="256"/>
      <c r="O358" s="255"/>
      <c r="P358" s="255"/>
      <c r="Q358" s="256"/>
      <c r="R358" s="258"/>
      <c r="S358" s="15"/>
      <c r="T358" s="15"/>
      <c r="U358" s="15"/>
      <c r="V358" s="15"/>
    </row>
    <row r="359" spans="1:22">
      <c r="A359" s="253"/>
      <c r="B359" s="317"/>
      <c r="C359" s="318"/>
      <c r="D359" s="319"/>
      <c r="E359" s="319"/>
      <c r="F359" s="319"/>
      <c r="G359" s="319"/>
      <c r="H359" s="319"/>
      <c r="I359" s="319"/>
      <c r="J359" s="320"/>
      <c r="K359" s="318"/>
      <c r="L359" s="319"/>
      <c r="M359" s="319"/>
      <c r="N359" s="319"/>
      <c r="O359" s="318"/>
      <c r="P359" s="321"/>
      <c r="Q359" s="319"/>
      <c r="R359" s="322"/>
      <c r="S359" s="15"/>
      <c r="T359" s="15"/>
      <c r="U359" s="15"/>
      <c r="V359" s="15"/>
    </row>
    <row r="360" spans="1:22">
      <c r="A360" s="253"/>
      <c r="B360" s="234"/>
      <c r="C360" s="249"/>
      <c r="D360" s="250"/>
      <c r="E360" s="250"/>
      <c r="F360" s="250"/>
      <c r="G360" s="250"/>
      <c r="H360" s="250"/>
      <c r="I360" s="250"/>
      <c r="J360" s="251"/>
      <c r="K360" s="249"/>
      <c r="L360" s="250"/>
      <c r="M360" s="250"/>
      <c r="N360" s="250"/>
      <c r="O360" s="249"/>
      <c r="P360" s="249"/>
      <c r="Q360" s="250"/>
      <c r="R360" s="252"/>
      <c r="S360" s="15"/>
      <c r="T360" s="15"/>
      <c r="U360" s="15"/>
      <c r="V360" s="15"/>
    </row>
    <row r="361" spans="1:22">
      <c r="A361" s="253"/>
      <c r="B361" s="254"/>
      <c r="C361" s="255"/>
      <c r="D361" s="256"/>
      <c r="E361" s="256"/>
      <c r="F361" s="256"/>
      <c r="G361" s="256"/>
      <c r="H361" s="256"/>
      <c r="I361" s="256"/>
      <c r="J361" s="257"/>
      <c r="K361" s="255"/>
      <c r="L361" s="256"/>
      <c r="M361" s="256"/>
      <c r="N361" s="256"/>
      <c r="O361" s="255"/>
      <c r="P361" s="255"/>
      <c r="Q361" s="256"/>
      <c r="R361" s="258"/>
      <c r="S361" s="15"/>
      <c r="T361" s="15"/>
      <c r="U361" s="15"/>
      <c r="V361" s="15"/>
    </row>
    <row r="362" spans="1:22">
      <c r="A362" s="253"/>
      <c r="B362" s="317"/>
      <c r="C362" s="318"/>
      <c r="D362" s="319"/>
      <c r="E362" s="319"/>
      <c r="F362" s="319"/>
      <c r="G362" s="319"/>
      <c r="H362" s="319"/>
      <c r="I362" s="319"/>
      <c r="J362" s="320"/>
      <c r="K362" s="318"/>
      <c r="L362" s="319"/>
      <c r="M362" s="319"/>
      <c r="N362" s="319"/>
      <c r="O362" s="318"/>
      <c r="P362" s="321"/>
      <c r="Q362" s="319"/>
      <c r="R362" s="322"/>
      <c r="S362" s="15"/>
      <c r="T362" s="15"/>
      <c r="U362" s="15"/>
      <c r="V362" s="15"/>
    </row>
    <row r="363" spans="1:22">
      <c r="A363" s="253"/>
      <c r="B363" s="234"/>
      <c r="C363" s="249"/>
      <c r="D363" s="250"/>
      <c r="E363" s="250"/>
      <c r="F363" s="250"/>
      <c r="G363" s="250"/>
      <c r="H363" s="250"/>
      <c r="I363" s="250"/>
      <c r="J363" s="251"/>
      <c r="K363" s="249"/>
      <c r="L363" s="250"/>
      <c r="M363" s="250"/>
      <c r="N363" s="250"/>
      <c r="O363" s="249"/>
      <c r="P363" s="249"/>
      <c r="Q363" s="250"/>
      <c r="R363" s="252"/>
      <c r="S363" s="15"/>
      <c r="T363" s="15"/>
      <c r="U363" s="15"/>
      <c r="V363" s="15"/>
    </row>
    <row r="364" spans="1:22">
      <c r="A364" s="253"/>
      <c r="B364" s="254"/>
      <c r="C364" s="255"/>
      <c r="D364" s="256"/>
      <c r="E364" s="256"/>
      <c r="F364" s="256"/>
      <c r="G364" s="256"/>
      <c r="H364" s="256"/>
      <c r="I364" s="256"/>
      <c r="J364" s="257"/>
      <c r="K364" s="255"/>
      <c r="L364" s="256"/>
      <c r="M364" s="256"/>
      <c r="N364" s="256"/>
      <c r="O364" s="255"/>
      <c r="P364" s="255"/>
      <c r="Q364" s="256"/>
      <c r="R364" s="258"/>
      <c r="S364" s="15"/>
      <c r="T364" s="15"/>
      <c r="U364" s="15"/>
      <c r="V364" s="15"/>
    </row>
    <row r="365" spans="1:22">
      <c r="A365" s="260"/>
      <c r="B365" s="317"/>
      <c r="C365" s="318"/>
      <c r="D365" s="319"/>
      <c r="E365" s="319"/>
      <c r="F365" s="319"/>
      <c r="G365" s="319"/>
      <c r="H365" s="319"/>
      <c r="I365" s="319"/>
      <c r="J365" s="320"/>
      <c r="K365" s="318"/>
      <c r="L365" s="319"/>
      <c r="M365" s="319"/>
      <c r="N365" s="319"/>
      <c r="O365" s="318"/>
      <c r="P365" s="321"/>
      <c r="Q365" s="319"/>
      <c r="R365" s="322"/>
      <c r="S365" s="15"/>
      <c r="T365" s="15"/>
      <c r="U365" s="15"/>
      <c r="V365" s="15"/>
    </row>
    <row r="366" spans="1:22">
      <c r="A366" s="248"/>
      <c r="B366" s="234"/>
      <c r="C366" s="249"/>
      <c r="D366" s="250"/>
      <c r="E366" s="250"/>
      <c r="F366" s="250"/>
      <c r="G366" s="250"/>
      <c r="H366" s="250"/>
      <c r="I366" s="250"/>
      <c r="J366" s="251"/>
      <c r="K366" s="249"/>
      <c r="L366" s="250"/>
      <c r="M366" s="250"/>
      <c r="N366" s="250"/>
      <c r="O366" s="249"/>
      <c r="P366" s="249"/>
      <c r="Q366" s="250"/>
      <c r="R366" s="252"/>
      <c r="S366" s="15"/>
      <c r="T366" s="15"/>
      <c r="U366" s="15"/>
      <c r="V366" s="15"/>
    </row>
    <row r="367" spans="1:22">
      <c r="A367" s="253"/>
      <c r="B367" s="254"/>
      <c r="C367" s="255"/>
      <c r="D367" s="256"/>
      <c r="E367" s="256"/>
      <c r="F367" s="256"/>
      <c r="G367" s="256"/>
      <c r="H367" s="256"/>
      <c r="I367" s="256"/>
      <c r="J367" s="257"/>
      <c r="K367" s="255"/>
      <c r="L367" s="256"/>
      <c r="M367" s="256"/>
      <c r="N367" s="256"/>
      <c r="O367" s="255"/>
      <c r="P367" s="255"/>
      <c r="Q367" s="256"/>
      <c r="R367" s="258"/>
      <c r="S367" s="15"/>
      <c r="T367" s="15"/>
      <c r="U367" s="15"/>
      <c r="V367" s="15"/>
    </row>
    <row r="368" spans="1:22">
      <c r="A368" s="253"/>
      <c r="B368" s="317"/>
      <c r="C368" s="318"/>
      <c r="D368" s="319"/>
      <c r="E368" s="319"/>
      <c r="F368" s="319"/>
      <c r="G368" s="319"/>
      <c r="H368" s="319"/>
      <c r="I368" s="319"/>
      <c r="J368" s="320"/>
      <c r="K368" s="318"/>
      <c r="L368" s="331"/>
      <c r="M368" s="319"/>
      <c r="N368" s="319"/>
      <c r="O368" s="318"/>
      <c r="P368" s="321"/>
      <c r="Q368" s="319"/>
      <c r="R368" s="322"/>
      <c r="S368" s="15"/>
      <c r="T368" s="15"/>
      <c r="U368" s="15"/>
      <c r="V368" s="15"/>
    </row>
    <row r="369" spans="1:22">
      <c r="A369" s="253"/>
      <c r="B369" s="234"/>
      <c r="C369" s="249"/>
      <c r="D369" s="250"/>
      <c r="E369" s="250"/>
      <c r="F369" s="250"/>
      <c r="G369" s="250"/>
      <c r="H369" s="250"/>
      <c r="I369" s="250"/>
      <c r="J369" s="251"/>
      <c r="K369" s="249"/>
      <c r="L369" s="250"/>
      <c r="M369" s="250"/>
      <c r="N369" s="250"/>
      <c r="O369" s="249"/>
      <c r="P369" s="249"/>
      <c r="Q369" s="250"/>
      <c r="R369" s="252"/>
      <c r="S369" s="15"/>
      <c r="T369" s="15"/>
      <c r="U369" s="15"/>
      <c r="V369" s="15"/>
    </row>
    <row r="370" spans="1:22">
      <c r="A370" s="253"/>
      <c r="B370" s="254"/>
      <c r="C370" s="255"/>
      <c r="D370" s="256"/>
      <c r="E370" s="256"/>
      <c r="F370" s="256"/>
      <c r="G370" s="256"/>
      <c r="H370" s="256"/>
      <c r="I370" s="256"/>
      <c r="J370" s="257"/>
      <c r="K370" s="255"/>
      <c r="L370" s="256"/>
      <c r="M370" s="256"/>
      <c r="N370" s="256"/>
      <c r="O370" s="255"/>
      <c r="P370" s="255"/>
      <c r="Q370" s="256"/>
      <c r="R370" s="258"/>
      <c r="S370" s="15"/>
      <c r="T370" s="15"/>
      <c r="U370" s="15"/>
      <c r="V370" s="15"/>
    </row>
    <row r="371" spans="1:22">
      <c r="A371" s="253"/>
      <c r="B371" s="317"/>
      <c r="C371" s="318"/>
      <c r="D371" s="319"/>
      <c r="E371" s="319"/>
      <c r="F371" s="319"/>
      <c r="G371" s="319"/>
      <c r="H371" s="319"/>
      <c r="I371" s="319"/>
      <c r="J371" s="320"/>
      <c r="K371" s="318"/>
      <c r="L371" s="319"/>
      <c r="M371" s="319"/>
      <c r="N371" s="319"/>
      <c r="O371" s="318"/>
      <c r="P371" s="321"/>
      <c r="Q371" s="319"/>
      <c r="R371" s="322"/>
      <c r="S371" s="15"/>
      <c r="T371" s="15"/>
      <c r="U371" s="15"/>
      <c r="V371" s="15"/>
    </row>
    <row r="372" spans="1:22">
      <c r="A372" s="253"/>
      <c r="B372" s="234"/>
      <c r="C372" s="249"/>
      <c r="D372" s="250"/>
      <c r="E372" s="250"/>
      <c r="F372" s="250"/>
      <c r="G372" s="250"/>
      <c r="H372" s="250"/>
      <c r="I372" s="250"/>
      <c r="J372" s="251"/>
      <c r="K372" s="249"/>
      <c r="L372" s="250"/>
      <c r="M372" s="250"/>
      <c r="N372" s="250"/>
      <c r="O372" s="249"/>
      <c r="P372" s="249"/>
      <c r="Q372" s="250"/>
      <c r="R372" s="252"/>
      <c r="S372" s="15"/>
      <c r="T372" s="15"/>
      <c r="U372" s="15"/>
      <c r="V372" s="15"/>
    </row>
    <row r="373" spans="1:22">
      <c r="A373" s="253"/>
      <c r="B373" s="254"/>
      <c r="C373" s="255"/>
      <c r="D373" s="256"/>
      <c r="E373" s="256"/>
      <c r="F373" s="256"/>
      <c r="G373" s="256"/>
      <c r="H373" s="256"/>
      <c r="I373" s="256"/>
      <c r="J373" s="257"/>
      <c r="K373" s="255"/>
      <c r="L373" s="256"/>
      <c r="M373" s="256"/>
      <c r="N373" s="256"/>
      <c r="O373" s="255"/>
      <c r="P373" s="255"/>
      <c r="Q373" s="256"/>
      <c r="R373" s="258"/>
      <c r="S373" s="15"/>
      <c r="T373" s="15"/>
      <c r="U373" s="15"/>
      <c r="V373" s="15"/>
    </row>
    <row r="374" spans="1:22">
      <c r="A374" s="253"/>
      <c r="B374" s="317"/>
      <c r="C374" s="318"/>
      <c r="D374" s="319"/>
      <c r="E374" s="319"/>
      <c r="F374" s="319"/>
      <c r="G374" s="319"/>
      <c r="H374" s="319"/>
      <c r="I374" s="319"/>
      <c r="J374" s="320"/>
      <c r="K374" s="318"/>
      <c r="L374" s="319"/>
      <c r="M374" s="319"/>
      <c r="N374" s="319"/>
      <c r="O374" s="318"/>
      <c r="P374" s="321"/>
      <c r="Q374" s="319"/>
      <c r="R374" s="322"/>
      <c r="S374" s="15"/>
      <c r="T374" s="15"/>
      <c r="U374" s="15"/>
      <c r="V374" s="15"/>
    </row>
    <row r="375" spans="1:22">
      <c r="A375" s="253"/>
      <c r="B375" s="234"/>
      <c r="C375" s="249"/>
      <c r="D375" s="250"/>
      <c r="E375" s="250"/>
      <c r="F375" s="250"/>
      <c r="G375" s="250"/>
      <c r="H375" s="250"/>
      <c r="I375" s="250"/>
      <c r="J375" s="251"/>
      <c r="K375" s="249"/>
      <c r="L375" s="250"/>
      <c r="M375" s="250"/>
      <c r="N375" s="250"/>
      <c r="O375" s="249"/>
      <c r="P375" s="249"/>
      <c r="Q375" s="250"/>
      <c r="R375" s="252"/>
      <c r="S375" s="15"/>
      <c r="T375" s="15"/>
      <c r="U375" s="15"/>
      <c r="V375" s="15"/>
    </row>
    <row r="376" spans="1:22">
      <c r="A376" s="253"/>
      <c r="B376" s="254"/>
      <c r="C376" s="255"/>
      <c r="D376" s="256"/>
      <c r="E376" s="256"/>
      <c r="F376" s="256"/>
      <c r="G376" s="256"/>
      <c r="H376" s="256"/>
      <c r="I376" s="256"/>
      <c r="J376" s="257"/>
      <c r="K376" s="255"/>
      <c r="L376" s="256"/>
      <c r="M376" s="256"/>
      <c r="N376" s="256"/>
      <c r="O376" s="255"/>
      <c r="P376" s="255"/>
      <c r="Q376" s="256"/>
      <c r="R376" s="258"/>
      <c r="S376" s="15"/>
      <c r="T376" s="15"/>
      <c r="U376" s="15"/>
      <c r="V376" s="15"/>
    </row>
    <row r="377" spans="1:22">
      <c r="A377" s="253"/>
      <c r="B377" s="317"/>
      <c r="C377" s="318"/>
      <c r="D377" s="319"/>
      <c r="E377" s="319"/>
      <c r="F377" s="319"/>
      <c r="G377" s="319"/>
      <c r="H377" s="319"/>
      <c r="I377" s="319"/>
      <c r="J377" s="320"/>
      <c r="K377" s="318"/>
      <c r="L377" s="319"/>
      <c r="M377" s="319"/>
      <c r="N377" s="319"/>
      <c r="O377" s="318"/>
      <c r="P377" s="321"/>
      <c r="Q377" s="319"/>
      <c r="R377" s="322"/>
      <c r="S377" s="15"/>
      <c r="T377" s="15"/>
      <c r="U377" s="15"/>
      <c r="V377" s="15"/>
    </row>
    <row r="378" spans="1:22">
      <c r="A378" s="253"/>
      <c r="B378" s="234"/>
      <c r="C378" s="249"/>
      <c r="D378" s="250"/>
      <c r="E378" s="250"/>
      <c r="F378" s="250"/>
      <c r="G378" s="250"/>
      <c r="H378" s="250"/>
      <c r="I378" s="250"/>
      <c r="J378" s="251"/>
      <c r="K378" s="249"/>
      <c r="L378" s="250"/>
      <c r="M378" s="250"/>
      <c r="N378" s="250"/>
      <c r="O378" s="249"/>
      <c r="P378" s="249"/>
      <c r="Q378" s="250"/>
      <c r="R378" s="252"/>
      <c r="S378" s="15"/>
      <c r="T378" s="15"/>
      <c r="U378" s="15"/>
      <c r="V378" s="15"/>
    </row>
    <row r="379" spans="1:22">
      <c r="A379" s="253"/>
      <c r="B379" s="254"/>
      <c r="C379" s="255"/>
      <c r="D379" s="256"/>
      <c r="E379" s="256"/>
      <c r="F379" s="256"/>
      <c r="G379" s="256"/>
      <c r="H379" s="256"/>
      <c r="I379" s="256"/>
      <c r="J379" s="257"/>
      <c r="K379" s="255"/>
      <c r="L379" s="256"/>
      <c r="M379" s="256"/>
      <c r="N379" s="256"/>
      <c r="O379" s="255"/>
      <c r="P379" s="255"/>
      <c r="Q379" s="256"/>
      <c r="R379" s="258"/>
      <c r="S379" s="15"/>
      <c r="T379" s="15"/>
      <c r="U379" s="15"/>
      <c r="V379" s="15"/>
    </row>
    <row r="380" spans="1:22">
      <c r="A380" s="253"/>
      <c r="B380" s="317"/>
      <c r="C380" s="318"/>
      <c r="D380" s="319"/>
      <c r="E380" s="319"/>
      <c r="F380" s="319"/>
      <c r="G380" s="319"/>
      <c r="H380" s="319"/>
      <c r="I380" s="319"/>
      <c r="J380" s="320"/>
      <c r="K380" s="318"/>
      <c r="L380" s="331"/>
      <c r="M380" s="319"/>
      <c r="N380" s="319"/>
      <c r="O380" s="318"/>
      <c r="P380" s="321"/>
      <c r="Q380" s="319"/>
      <c r="R380" s="322"/>
      <c r="S380" s="15"/>
      <c r="T380" s="15"/>
      <c r="U380" s="15"/>
      <c r="V380" s="15"/>
    </row>
    <row r="381" spans="1:22">
      <c r="A381" s="253"/>
      <c r="B381" s="234"/>
      <c r="C381" s="249"/>
      <c r="D381" s="250"/>
      <c r="E381" s="250"/>
      <c r="F381" s="250"/>
      <c r="G381" s="250"/>
      <c r="H381" s="250"/>
      <c r="I381" s="250"/>
      <c r="J381" s="251"/>
      <c r="K381" s="249"/>
      <c r="L381" s="250"/>
      <c r="M381" s="250"/>
      <c r="N381" s="250"/>
      <c r="O381" s="249"/>
      <c r="P381" s="249"/>
      <c r="Q381" s="250"/>
      <c r="R381" s="252"/>
      <c r="S381" s="15"/>
      <c r="T381" s="15"/>
      <c r="U381" s="15"/>
      <c r="V381" s="15"/>
    </row>
    <row r="382" spans="1:22">
      <c r="A382" s="253"/>
      <c r="B382" s="254"/>
      <c r="C382" s="255"/>
      <c r="D382" s="256"/>
      <c r="E382" s="256"/>
      <c r="F382" s="256"/>
      <c r="G382" s="256"/>
      <c r="H382" s="256"/>
      <c r="I382" s="256"/>
      <c r="J382" s="257"/>
      <c r="K382" s="255"/>
      <c r="L382" s="256"/>
      <c r="M382" s="256"/>
      <c r="N382" s="256"/>
      <c r="O382" s="255"/>
      <c r="P382" s="255"/>
      <c r="Q382" s="256"/>
      <c r="R382" s="258"/>
      <c r="S382" s="15"/>
      <c r="T382" s="15"/>
      <c r="U382" s="15"/>
      <c r="V382" s="15"/>
    </row>
    <row r="383" spans="1:22">
      <c r="A383" s="253"/>
      <c r="B383" s="317"/>
      <c r="C383" s="318"/>
      <c r="D383" s="319"/>
      <c r="E383" s="319"/>
      <c r="F383" s="319"/>
      <c r="G383" s="319"/>
      <c r="H383" s="319"/>
      <c r="I383" s="319"/>
      <c r="J383" s="320"/>
      <c r="K383" s="318"/>
      <c r="L383" s="319"/>
      <c r="M383" s="319"/>
      <c r="N383" s="319"/>
      <c r="O383" s="318"/>
      <c r="P383" s="321"/>
      <c r="Q383" s="319"/>
      <c r="R383" s="322"/>
      <c r="S383" s="15"/>
      <c r="T383" s="15"/>
      <c r="U383" s="15"/>
      <c r="V383" s="15"/>
    </row>
    <row r="384" spans="1:22">
      <c r="A384" s="253"/>
      <c r="B384" s="234"/>
      <c r="C384" s="249"/>
      <c r="D384" s="250"/>
      <c r="E384" s="250"/>
      <c r="F384" s="250"/>
      <c r="G384" s="250"/>
      <c r="H384" s="250"/>
      <c r="I384" s="250"/>
      <c r="J384" s="251"/>
      <c r="K384" s="249"/>
      <c r="L384" s="250"/>
      <c r="M384" s="250"/>
      <c r="N384" s="250"/>
      <c r="O384" s="249"/>
      <c r="P384" s="249"/>
      <c r="Q384" s="250"/>
      <c r="R384" s="252"/>
      <c r="S384" s="15"/>
      <c r="T384" s="15"/>
      <c r="U384" s="15"/>
      <c r="V384" s="15"/>
    </row>
    <row r="385" spans="1:22">
      <c r="A385" s="253"/>
      <c r="B385" s="254"/>
      <c r="C385" s="255"/>
      <c r="D385" s="256"/>
      <c r="E385" s="256"/>
      <c r="F385" s="256"/>
      <c r="G385" s="256"/>
      <c r="H385" s="256"/>
      <c r="I385" s="256"/>
      <c r="J385" s="257"/>
      <c r="K385" s="255"/>
      <c r="L385" s="256"/>
      <c r="M385" s="256"/>
      <c r="N385" s="256"/>
      <c r="O385" s="255"/>
      <c r="P385" s="255"/>
      <c r="Q385" s="256"/>
      <c r="R385" s="258"/>
      <c r="S385" s="15"/>
      <c r="T385" s="15"/>
      <c r="U385" s="15"/>
      <c r="V385" s="15"/>
    </row>
    <row r="386" spans="1:22">
      <c r="A386" s="253"/>
      <c r="B386" s="317"/>
      <c r="C386" s="332"/>
      <c r="D386" s="319"/>
      <c r="E386" s="319"/>
      <c r="F386" s="319"/>
      <c r="G386" s="319"/>
      <c r="H386" s="319"/>
      <c r="I386" s="319"/>
      <c r="J386" s="320"/>
      <c r="K386" s="318"/>
      <c r="L386" s="319"/>
      <c r="M386" s="319"/>
      <c r="N386" s="319"/>
      <c r="O386" s="318"/>
      <c r="P386" s="321"/>
      <c r="Q386" s="319"/>
      <c r="R386" s="322"/>
      <c r="S386" s="15"/>
      <c r="T386" s="15"/>
      <c r="U386" s="15"/>
      <c r="V386" s="15"/>
    </row>
    <row r="387" spans="1:22">
      <c r="A387" s="253"/>
      <c r="B387" s="234"/>
      <c r="C387" s="249"/>
      <c r="D387" s="250"/>
      <c r="E387" s="250"/>
      <c r="F387" s="250"/>
      <c r="G387" s="250"/>
      <c r="H387" s="250"/>
      <c r="I387" s="250"/>
      <c r="J387" s="251"/>
      <c r="K387" s="249"/>
      <c r="L387" s="250"/>
      <c r="M387" s="250"/>
      <c r="N387" s="250"/>
      <c r="O387" s="249"/>
      <c r="P387" s="249"/>
      <c r="Q387" s="250"/>
      <c r="R387" s="252"/>
      <c r="S387" s="15"/>
      <c r="T387" s="15"/>
      <c r="U387" s="15"/>
      <c r="V387" s="15"/>
    </row>
    <row r="388" spans="1:22">
      <c r="A388" s="253"/>
      <c r="B388" s="254"/>
      <c r="C388" s="255"/>
      <c r="D388" s="256"/>
      <c r="E388" s="256"/>
      <c r="F388" s="256"/>
      <c r="G388" s="256"/>
      <c r="H388" s="256"/>
      <c r="I388" s="256"/>
      <c r="J388" s="257"/>
      <c r="K388" s="255"/>
      <c r="L388" s="256"/>
      <c r="M388" s="256"/>
      <c r="N388" s="256"/>
      <c r="O388" s="255"/>
      <c r="P388" s="255"/>
      <c r="Q388" s="256"/>
      <c r="R388" s="258"/>
      <c r="S388" s="15"/>
      <c r="T388" s="15"/>
      <c r="U388" s="15"/>
      <c r="V388" s="15"/>
    </row>
    <row r="389" spans="1:22">
      <c r="A389" s="253"/>
      <c r="B389" s="317"/>
      <c r="C389" s="332"/>
      <c r="D389" s="319"/>
      <c r="E389" s="319"/>
      <c r="F389" s="319"/>
      <c r="G389" s="319"/>
      <c r="H389" s="319"/>
      <c r="I389" s="319"/>
      <c r="J389" s="320"/>
      <c r="K389" s="318"/>
      <c r="L389" s="319"/>
      <c r="M389" s="319"/>
      <c r="N389" s="319"/>
      <c r="O389" s="318"/>
      <c r="P389" s="321"/>
      <c r="Q389" s="319"/>
      <c r="R389" s="322"/>
      <c r="S389" s="15"/>
      <c r="T389" s="15"/>
      <c r="U389" s="15"/>
      <c r="V389" s="15"/>
    </row>
    <row r="390" spans="1:22">
      <c r="A390" s="253"/>
      <c r="B390" s="234"/>
      <c r="C390" s="249"/>
      <c r="D390" s="250"/>
      <c r="E390" s="250"/>
      <c r="F390" s="250"/>
      <c r="G390" s="250"/>
      <c r="H390" s="250"/>
      <c r="I390" s="250"/>
      <c r="J390" s="251"/>
      <c r="K390" s="249"/>
      <c r="L390" s="250"/>
      <c r="M390" s="250"/>
      <c r="N390" s="250"/>
      <c r="O390" s="249"/>
      <c r="P390" s="249"/>
      <c r="Q390" s="250"/>
      <c r="R390" s="252"/>
      <c r="S390" s="15"/>
      <c r="T390" s="15"/>
      <c r="U390" s="15"/>
      <c r="V390" s="15"/>
    </row>
    <row r="391" spans="1:22">
      <c r="A391" s="253"/>
      <c r="B391" s="254"/>
      <c r="C391" s="255"/>
      <c r="D391" s="256"/>
      <c r="E391" s="256"/>
      <c r="F391" s="256"/>
      <c r="G391" s="256"/>
      <c r="H391" s="256"/>
      <c r="I391" s="256"/>
      <c r="J391" s="257"/>
      <c r="K391" s="255"/>
      <c r="L391" s="256"/>
      <c r="M391" s="256"/>
      <c r="N391" s="256"/>
      <c r="O391" s="255"/>
      <c r="P391" s="255"/>
      <c r="Q391" s="256"/>
      <c r="R391" s="258"/>
      <c r="S391" s="15"/>
      <c r="T391" s="15"/>
      <c r="U391" s="15"/>
      <c r="V391" s="15"/>
    </row>
    <row r="392" spans="1:22">
      <c r="A392" s="253"/>
      <c r="B392" s="317"/>
      <c r="C392" s="318"/>
      <c r="D392" s="319"/>
      <c r="E392" s="319"/>
      <c r="F392" s="319"/>
      <c r="G392" s="319"/>
      <c r="H392" s="319"/>
      <c r="I392" s="319"/>
      <c r="J392" s="320"/>
      <c r="K392" s="318"/>
      <c r="L392" s="319"/>
      <c r="M392" s="319"/>
      <c r="N392" s="319"/>
      <c r="O392" s="318"/>
      <c r="P392" s="321"/>
      <c r="Q392" s="319"/>
      <c r="R392" s="322"/>
      <c r="S392" s="15"/>
      <c r="T392" s="15"/>
      <c r="U392" s="15"/>
      <c r="V392" s="15"/>
    </row>
    <row r="393" spans="1:22">
      <c r="A393" s="253"/>
      <c r="B393" s="234"/>
      <c r="C393" s="249"/>
      <c r="D393" s="250"/>
      <c r="E393" s="250"/>
      <c r="F393" s="250"/>
      <c r="G393" s="250"/>
      <c r="H393" s="250"/>
      <c r="I393" s="250"/>
      <c r="J393" s="251"/>
      <c r="K393" s="249"/>
      <c r="L393" s="250"/>
      <c r="M393" s="250"/>
      <c r="N393" s="250"/>
      <c r="O393" s="249"/>
      <c r="P393" s="249"/>
      <c r="Q393" s="250"/>
      <c r="R393" s="252"/>
      <c r="S393" s="15"/>
      <c r="T393" s="15"/>
      <c r="U393" s="15"/>
      <c r="V393" s="15"/>
    </row>
    <row r="394" spans="1:22">
      <c r="A394" s="253"/>
      <c r="B394" s="254"/>
      <c r="C394" s="255"/>
      <c r="D394" s="256"/>
      <c r="E394" s="256"/>
      <c r="F394" s="256"/>
      <c r="G394" s="256"/>
      <c r="H394" s="256"/>
      <c r="I394" s="256"/>
      <c r="J394" s="257"/>
      <c r="K394" s="255"/>
      <c r="L394" s="256"/>
      <c r="M394" s="256"/>
      <c r="N394" s="256"/>
      <c r="O394" s="255"/>
      <c r="P394" s="255"/>
      <c r="Q394" s="256"/>
      <c r="R394" s="258"/>
      <c r="S394" s="15"/>
      <c r="T394" s="15"/>
      <c r="U394" s="15"/>
      <c r="V394" s="15"/>
    </row>
    <row r="395" spans="1:22">
      <c r="A395" s="253"/>
      <c r="B395" s="317"/>
      <c r="C395" s="318"/>
      <c r="D395" s="319"/>
      <c r="E395" s="319"/>
      <c r="F395" s="319"/>
      <c r="G395" s="319"/>
      <c r="H395" s="319"/>
      <c r="I395" s="319"/>
      <c r="J395" s="320"/>
      <c r="K395" s="318"/>
      <c r="L395" s="319"/>
      <c r="M395" s="319"/>
      <c r="N395" s="319"/>
      <c r="O395" s="318"/>
      <c r="P395" s="321"/>
      <c r="Q395" s="319"/>
      <c r="R395" s="322"/>
      <c r="S395" s="15"/>
      <c r="T395" s="15"/>
      <c r="U395" s="15"/>
      <c r="V395" s="15"/>
    </row>
    <row r="396" spans="1:22">
      <c r="A396" s="253"/>
      <c r="B396" s="234"/>
      <c r="C396" s="249"/>
      <c r="D396" s="250"/>
      <c r="E396" s="250"/>
      <c r="F396" s="250"/>
      <c r="G396" s="250"/>
      <c r="H396" s="250"/>
      <c r="I396" s="250"/>
      <c r="J396" s="251"/>
      <c r="K396" s="249"/>
      <c r="L396" s="250"/>
      <c r="M396" s="250"/>
      <c r="N396" s="250"/>
      <c r="O396" s="249"/>
      <c r="P396" s="249"/>
      <c r="Q396" s="250"/>
      <c r="R396" s="252"/>
      <c r="S396" s="15"/>
      <c r="T396" s="15"/>
      <c r="U396" s="15"/>
      <c r="V396" s="15"/>
    </row>
    <row r="397" spans="1:22">
      <c r="A397" s="253"/>
      <c r="B397" s="254"/>
      <c r="C397" s="255"/>
      <c r="D397" s="256"/>
      <c r="E397" s="256"/>
      <c r="F397" s="256"/>
      <c r="G397" s="256"/>
      <c r="H397" s="256"/>
      <c r="I397" s="256"/>
      <c r="J397" s="257"/>
      <c r="K397" s="255"/>
      <c r="L397" s="256"/>
      <c r="M397" s="256"/>
      <c r="N397" s="256"/>
      <c r="O397" s="255"/>
      <c r="P397" s="255"/>
      <c r="Q397" s="256"/>
      <c r="R397" s="258"/>
      <c r="S397" s="15"/>
      <c r="T397" s="15"/>
      <c r="U397" s="15"/>
      <c r="V397" s="15"/>
    </row>
    <row r="398" spans="1:22">
      <c r="A398" s="253"/>
      <c r="B398" s="317"/>
      <c r="C398" s="318"/>
      <c r="D398" s="319"/>
      <c r="E398" s="319"/>
      <c r="F398" s="319"/>
      <c r="G398" s="319"/>
      <c r="H398" s="319"/>
      <c r="I398" s="319"/>
      <c r="J398" s="320"/>
      <c r="K398" s="318"/>
      <c r="L398" s="319"/>
      <c r="M398" s="319"/>
      <c r="N398" s="319"/>
      <c r="O398" s="318"/>
      <c r="P398" s="321"/>
      <c r="Q398" s="319"/>
      <c r="R398" s="322"/>
      <c r="S398" s="15"/>
      <c r="T398" s="15"/>
      <c r="U398" s="15"/>
      <c r="V398" s="15"/>
    </row>
    <row r="399" spans="1:22">
      <c r="A399" s="253"/>
      <c r="B399" s="234"/>
      <c r="C399" s="249"/>
      <c r="D399" s="250"/>
      <c r="E399" s="250"/>
      <c r="F399" s="250"/>
      <c r="G399" s="250"/>
      <c r="H399" s="250"/>
      <c r="I399" s="250"/>
      <c r="J399" s="251"/>
      <c r="K399" s="249"/>
      <c r="L399" s="250"/>
      <c r="M399" s="250"/>
      <c r="N399" s="250"/>
      <c r="O399" s="249"/>
      <c r="P399" s="249"/>
      <c r="Q399" s="250"/>
      <c r="R399" s="252"/>
      <c r="S399" s="15"/>
      <c r="T399" s="15"/>
      <c r="U399" s="15"/>
      <c r="V399" s="15"/>
    </row>
    <row r="400" spans="1:22">
      <c r="A400" s="253"/>
      <c r="B400" s="254"/>
      <c r="C400" s="255"/>
      <c r="D400" s="256"/>
      <c r="E400" s="256"/>
      <c r="F400" s="256"/>
      <c r="G400" s="256"/>
      <c r="H400" s="256"/>
      <c r="I400" s="256"/>
      <c r="J400" s="257"/>
      <c r="K400" s="255"/>
      <c r="L400" s="256"/>
      <c r="M400" s="256"/>
      <c r="N400" s="256"/>
      <c r="O400" s="255"/>
      <c r="P400" s="255"/>
      <c r="Q400" s="256"/>
      <c r="R400" s="258"/>
      <c r="S400" s="15"/>
      <c r="T400" s="15"/>
      <c r="U400" s="15"/>
      <c r="V400" s="15"/>
    </row>
    <row r="401" spans="1:22">
      <c r="A401" s="260"/>
      <c r="B401" s="317"/>
      <c r="C401" s="318"/>
      <c r="D401" s="319"/>
      <c r="E401" s="319"/>
      <c r="F401" s="319"/>
      <c r="G401" s="319"/>
      <c r="H401" s="319"/>
      <c r="I401" s="319"/>
      <c r="J401" s="320"/>
      <c r="K401" s="318"/>
      <c r="L401" s="319"/>
      <c r="M401" s="319"/>
      <c r="N401" s="319"/>
      <c r="O401" s="318"/>
      <c r="P401" s="321"/>
      <c r="Q401" s="319"/>
      <c r="R401" s="322"/>
      <c r="S401" s="15"/>
      <c r="T401" s="15"/>
      <c r="U401" s="15"/>
      <c r="V401" s="15"/>
    </row>
    <row r="402" spans="1:22">
      <c r="A402" s="248"/>
      <c r="B402" s="234"/>
      <c r="C402" s="249"/>
      <c r="D402" s="250"/>
      <c r="E402" s="250"/>
      <c r="F402" s="250"/>
      <c r="G402" s="250"/>
      <c r="H402" s="250"/>
      <c r="I402" s="250"/>
      <c r="J402" s="251"/>
      <c r="K402" s="249"/>
      <c r="L402" s="250"/>
      <c r="M402" s="250"/>
      <c r="N402" s="250"/>
      <c r="O402" s="249"/>
      <c r="P402" s="249"/>
      <c r="Q402" s="250"/>
      <c r="R402" s="252"/>
      <c r="S402" s="15"/>
      <c r="T402" s="15"/>
      <c r="U402" s="15"/>
      <c r="V402" s="15"/>
    </row>
    <row r="403" spans="1:22">
      <c r="A403" s="253"/>
      <c r="B403" s="254"/>
      <c r="C403" s="255"/>
      <c r="D403" s="256"/>
      <c r="E403" s="256"/>
      <c r="F403" s="256"/>
      <c r="G403" s="256"/>
      <c r="H403" s="256"/>
      <c r="I403" s="256"/>
      <c r="J403" s="257"/>
      <c r="K403" s="255"/>
      <c r="L403" s="256"/>
      <c r="M403" s="256"/>
      <c r="N403" s="256"/>
      <c r="O403" s="255"/>
      <c r="P403" s="255"/>
      <c r="Q403" s="256"/>
      <c r="R403" s="258"/>
      <c r="S403" s="15"/>
      <c r="T403" s="15"/>
      <c r="U403" s="15"/>
      <c r="V403" s="15"/>
    </row>
    <row r="404" spans="1:22">
      <c r="A404" s="253"/>
      <c r="B404" s="317"/>
      <c r="C404" s="318"/>
      <c r="D404" s="319"/>
      <c r="E404" s="319"/>
      <c r="F404" s="319"/>
      <c r="G404" s="319"/>
      <c r="H404" s="319"/>
      <c r="I404" s="319"/>
      <c r="J404" s="320"/>
      <c r="K404" s="318"/>
      <c r="L404" s="319"/>
      <c r="M404" s="319"/>
      <c r="N404" s="319"/>
      <c r="O404" s="318"/>
      <c r="P404" s="321"/>
      <c r="Q404" s="319"/>
      <c r="R404" s="322"/>
      <c r="S404" s="15"/>
      <c r="T404" s="15"/>
      <c r="U404" s="15"/>
      <c r="V404" s="15"/>
    </row>
    <row r="405" spans="1:22">
      <c r="A405" s="253"/>
      <c r="B405" s="234"/>
      <c r="C405" s="249"/>
      <c r="D405" s="250"/>
      <c r="E405" s="250"/>
      <c r="F405" s="250"/>
      <c r="G405" s="250"/>
      <c r="H405" s="250"/>
      <c r="I405" s="250"/>
      <c r="J405" s="251"/>
      <c r="K405" s="249"/>
      <c r="L405" s="250"/>
      <c r="M405" s="250"/>
      <c r="N405" s="250"/>
      <c r="O405" s="249"/>
      <c r="P405" s="249"/>
      <c r="Q405" s="250"/>
      <c r="R405" s="252"/>
      <c r="S405" s="15"/>
      <c r="T405" s="15"/>
      <c r="U405" s="15"/>
      <c r="V405" s="15"/>
    </row>
    <row r="406" spans="1:22">
      <c r="A406" s="253"/>
      <c r="B406" s="254"/>
      <c r="C406" s="255"/>
      <c r="D406" s="256"/>
      <c r="E406" s="256"/>
      <c r="F406" s="256"/>
      <c r="G406" s="256"/>
      <c r="H406" s="256"/>
      <c r="I406" s="256"/>
      <c r="J406" s="257"/>
      <c r="K406" s="255"/>
      <c r="L406" s="256"/>
      <c r="M406" s="256"/>
      <c r="N406" s="256"/>
      <c r="O406" s="255"/>
      <c r="P406" s="255"/>
      <c r="Q406" s="256"/>
      <c r="R406" s="258"/>
      <c r="S406" s="15"/>
      <c r="T406" s="15"/>
      <c r="U406" s="15"/>
      <c r="V406" s="15"/>
    </row>
    <row r="407" spans="1:22">
      <c r="A407" s="253"/>
      <c r="B407" s="317"/>
      <c r="C407" s="318"/>
      <c r="D407" s="319"/>
      <c r="E407" s="319"/>
      <c r="F407" s="319"/>
      <c r="G407" s="319"/>
      <c r="H407" s="319"/>
      <c r="I407" s="319"/>
      <c r="J407" s="320"/>
      <c r="K407" s="318"/>
      <c r="L407" s="319"/>
      <c r="M407" s="319"/>
      <c r="N407" s="319"/>
      <c r="O407" s="318"/>
      <c r="P407" s="321"/>
      <c r="Q407" s="319"/>
      <c r="R407" s="322"/>
      <c r="S407" s="15"/>
      <c r="T407" s="15"/>
      <c r="U407" s="15"/>
      <c r="V407" s="15"/>
    </row>
    <row r="408" spans="1:22">
      <c r="A408" s="253"/>
      <c r="B408" s="234"/>
      <c r="C408" s="249"/>
      <c r="D408" s="250"/>
      <c r="E408" s="250"/>
      <c r="F408" s="250"/>
      <c r="G408" s="250"/>
      <c r="H408" s="250"/>
      <c r="I408" s="250"/>
      <c r="J408" s="251"/>
      <c r="K408" s="249"/>
      <c r="L408" s="250"/>
      <c r="M408" s="250"/>
      <c r="N408" s="250"/>
      <c r="O408" s="249"/>
      <c r="P408" s="249"/>
      <c r="Q408" s="250"/>
      <c r="R408" s="252"/>
      <c r="S408" s="15"/>
      <c r="T408" s="15"/>
      <c r="U408" s="15"/>
      <c r="V408" s="15"/>
    </row>
    <row r="409" spans="1:22">
      <c r="A409" s="253"/>
      <c r="B409" s="254"/>
      <c r="C409" s="255"/>
      <c r="D409" s="256"/>
      <c r="E409" s="256"/>
      <c r="F409" s="256"/>
      <c r="G409" s="256"/>
      <c r="H409" s="256"/>
      <c r="I409" s="256"/>
      <c r="J409" s="257"/>
      <c r="K409" s="255"/>
      <c r="L409" s="256"/>
      <c r="M409" s="256"/>
      <c r="N409" s="256"/>
      <c r="O409" s="255"/>
      <c r="P409" s="255"/>
      <c r="Q409" s="256"/>
      <c r="R409" s="258"/>
      <c r="S409" s="15"/>
      <c r="T409" s="15"/>
      <c r="U409" s="15"/>
      <c r="V409" s="15"/>
    </row>
    <row r="410" spans="1:22">
      <c r="A410" s="253"/>
      <c r="B410" s="317"/>
      <c r="C410" s="318"/>
      <c r="D410" s="319"/>
      <c r="E410" s="319"/>
      <c r="F410" s="319"/>
      <c r="G410" s="319"/>
      <c r="H410" s="319"/>
      <c r="I410" s="319"/>
      <c r="J410" s="320"/>
      <c r="K410" s="318"/>
      <c r="L410" s="319"/>
      <c r="M410" s="319"/>
      <c r="N410" s="319"/>
      <c r="O410" s="318"/>
      <c r="P410" s="321"/>
      <c r="Q410" s="319"/>
      <c r="R410" s="322"/>
      <c r="S410" s="15"/>
      <c r="T410" s="15"/>
      <c r="U410" s="15"/>
      <c r="V410" s="15"/>
    </row>
    <row r="411" spans="1:22">
      <c r="A411" s="253"/>
      <c r="B411" s="234"/>
      <c r="C411" s="249"/>
      <c r="D411" s="250"/>
      <c r="E411" s="250"/>
      <c r="F411" s="250"/>
      <c r="G411" s="250"/>
      <c r="H411" s="250"/>
      <c r="I411" s="250"/>
      <c r="J411" s="251"/>
      <c r="K411" s="249"/>
      <c r="L411" s="250"/>
      <c r="M411" s="250"/>
      <c r="N411" s="250"/>
      <c r="O411" s="249"/>
      <c r="P411" s="249"/>
      <c r="Q411" s="250"/>
      <c r="R411" s="252"/>
      <c r="S411" s="15"/>
      <c r="T411" s="15"/>
      <c r="U411" s="15"/>
      <c r="V411" s="15"/>
    </row>
    <row r="412" spans="1:22">
      <c r="A412" s="253"/>
      <c r="B412" s="254"/>
      <c r="C412" s="255"/>
      <c r="D412" s="256"/>
      <c r="E412" s="256"/>
      <c r="F412" s="256"/>
      <c r="G412" s="256"/>
      <c r="H412" s="256"/>
      <c r="I412" s="256"/>
      <c r="J412" s="257"/>
      <c r="K412" s="255"/>
      <c r="L412" s="256"/>
      <c r="M412" s="256"/>
      <c r="N412" s="256"/>
      <c r="O412" s="255"/>
      <c r="P412" s="255"/>
      <c r="Q412" s="256"/>
      <c r="R412" s="258"/>
      <c r="S412" s="15"/>
      <c r="T412" s="15"/>
      <c r="U412" s="15"/>
      <c r="V412" s="15"/>
    </row>
    <row r="413" spans="1:22">
      <c r="A413" s="253"/>
      <c r="B413" s="317"/>
      <c r="C413" s="318"/>
      <c r="D413" s="319"/>
      <c r="E413" s="319"/>
      <c r="F413" s="319"/>
      <c r="G413" s="319"/>
      <c r="H413" s="319"/>
      <c r="I413" s="319"/>
      <c r="J413" s="320"/>
      <c r="K413" s="318"/>
      <c r="L413" s="319"/>
      <c r="M413" s="319"/>
      <c r="N413" s="319"/>
      <c r="O413" s="318"/>
      <c r="P413" s="321"/>
      <c r="Q413" s="319"/>
      <c r="R413" s="322"/>
      <c r="S413" s="15"/>
      <c r="T413" s="15"/>
      <c r="U413" s="15"/>
      <c r="V413" s="15"/>
    </row>
    <row r="414" spans="1:22">
      <c r="A414" s="253"/>
      <c r="B414" s="234"/>
      <c r="C414" s="249"/>
      <c r="D414" s="250"/>
      <c r="E414" s="250"/>
      <c r="F414" s="250"/>
      <c r="G414" s="250"/>
      <c r="H414" s="250"/>
      <c r="I414" s="250"/>
      <c r="J414" s="251"/>
      <c r="K414" s="249"/>
      <c r="L414" s="250"/>
      <c r="M414" s="250"/>
      <c r="N414" s="250"/>
      <c r="O414" s="249"/>
      <c r="P414" s="249"/>
      <c r="Q414" s="250"/>
      <c r="R414" s="252"/>
      <c r="S414" s="15"/>
      <c r="T414" s="15"/>
      <c r="U414" s="15"/>
      <c r="V414" s="15"/>
    </row>
    <row r="415" spans="1:22">
      <c r="A415" s="253"/>
      <c r="B415" s="254"/>
      <c r="C415" s="255"/>
      <c r="D415" s="256"/>
      <c r="E415" s="256"/>
      <c r="F415" s="256"/>
      <c r="G415" s="256"/>
      <c r="H415" s="256"/>
      <c r="I415" s="256"/>
      <c r="J415" s="257"/>
      <c r="K415" s="255"/>
      <c r="L415" s="256"/>
      <c r="M415" s="256"/>
      <c r="N415" s="256"/>
      <c r="O415" s="255"/>
      <c r="P415" s="255"/>
      <c r="Q415" s="256"/>
      <c r="R415" s="258"/>
      <c r="S415" s="15"/>
      <c r="T415" s="15"/>
      <c r="U415" s="15"/>
      <c r="V415" s="15"/>
    </row>
    <row r="416" spans="1:22">
      <c r="A416" s="253"/>
      <c r="B416" s="317"/>
      <c r="C416" s="318"/>
      <c r="D416" s="319"/>
      <c r="E416" s="319"/>
      <c r="F416" s="319"/>
      <c r="G416" s="319"/>
      <c r="H416" s="319"/>
      <c r="I416" s="319"/>
      <c r="J416" s="320"/>
      <c r="K416" s="318"/>
      <c r="L416" s="319"/>
      <c r="M416" s="319"/>
      <c r="N416" s="319"/>
      <c r="O416" s="318"/>
      <c r="P416" s="321"/>
      <c r="Q416" s="319"/>
      <c r="R416" s="322"/>
      <c r="S416" s="15"/>
      <c r="T416" s="15"/>
      <c r="U416" s="15"/>
      <c r="V416" s="15"/>
    </row>
    <row r="417" spans="1:22">
      <c r="A417" s="253"/>
      <c r="B417" s="234"/>
      <c r="C417" s="249"/>
      <c r="D417" s="250"/>
      <c r="E417" s="250"/>
      <c r="F417" s="250"/>
      <c r="G417" s="250"/>
      <c r="H417" s="250"/>
      <c r="I417" s="250"/>
      <c r="J417" s="251"/>
      <c r="K417" s="249"/>
      <c r="L417" s="250"/>
      <c r="M417" s="250"/>
      <c r="N417" s="250"/>
      <c r="O417" s="249"/>
      <c r="P417" s="249"/>
      <c r="Q417" s="250"/>
      <c r="R417" s="252"/>
      <c r="S417" s="15"/>
      <c r="T417" s="15"/>
      <c r="U417" s="15"/>
      <c r="V417" s="15"/>
    </row>
    <row r="418" spans="1:22">
      <c r="A418" s="253"/>
      <c r="B418" s="254"/>
      <c r="C418" s="255"/>
      <c r="D418" s="256"/>
      <c r="E418" s="256"/>
      <c r="F418" s="256"/>
      <c r="G418" s="256"/>
      <c r="H418" s="256"/>
      <c r="I418" s="256"/>
      <c r="J418" s="257"/>
      <c r="K418" s="255"/>
      <c r="L418" s="256"/>
      <c r="M418" s="256"/>
      <c r="N418" s="256"/>
      <c r="O418" s="255"/>
      <c r="P418" s="255"/>
      <c r="Q418" s="256"/>
      <c r="R418" s="258"/>
      <c r="S418" s="15"/>
      <c r="T418" s="15"/>
      <c r="U418" s="15"/>
      <c r="V418" s="15"/>
    </row>
    <row r="419" spans="1:22">
      <c r="A419" s="253"/>
      <c r="B419" s="317"/>
      <c r="C419" s="318"/>
      <c r="D419" s="319"/>
      <c r="E419" s="319"/>
      <c r="F419" s="319"/>
      <c r="G419" s="319"/>
      <c r="H419" s="319"/>
      <c r="I419" s="319"/>
      <c r="J419" s="320"/>
      <c r="K419" s="318"/>
      <c r="L419" s="319"/>
      <c r="M419" s="319"/>
      <c r="N419" s="319"/>
      <c r="O419" s="318"/>
      <c r="P419" s="321"/>
      <c r="Q419" s="319"/>
      <c r="R419" s="322"/>
      <c r="S419" s="15"/>
      <c r="T419" s="15"/>
      <c r="U419" s="15"/>
      <c r="V419" s="15"/>
    </row>
    <row r="420" spans="1:22">
      <c r="A420" s="253"/>
      <c r="B420" s="234"/>
      <c r="C420" s="249"/>
      <c r="D420" s="250"/>
      <c r="E420" s="250"/>
      <c r="F420" s="250"/>
      <c r="G420" s="250"/>
      <c r="H420" s="250"/>
      <c r="I420" s="250"/>
      <c r="J420" s="251"/>
      <c r="K420" s="249"/>
      <c r="L420" s="250"/>
      <c r="M420" s="250"/>
      <c r="N420" s="250"/>
      <c r="O420" s="249"/>
      <c r="P420" s="249"/>
      <c r="Q420" s="250"/>
      <c r="R420" s="252"/>
      <c r="S420" s="15"/>
      <c r="T420" s="15"/>
      <c r="U420" s="15"/>
      <c r="V420" s="15"/>
    </row>
    <row r="421" spans="1:22">
      <c r="A421" s="253"/>
      <c r="B421" s="254"/>
      <c r="C421" s="255"/>
      <c r="D421" s="256"/>
      <c r="E421" s="256"/>
      <c r="F421" s="256"/>
      <c r="G421" s="256"/>
      <c r="H421" s="256"/>
      <c r="I421" s="256"/>
      <c r="J421" s="257"/>
      <c r="K421" s="255"/>
      <c r="L421" s="256"/>
      <c r="M421" s="256"/>
      <c r="N421" s="256"/>
      <c r="O421" s="255"/>
      <c r="P421" s="255"/>
      <c r="Q421" s="256"/>
      <c r="R421" s="258"/>
      <c r="S421" s="15"/>
      <c r="T421" s="15"/>
      <c r="U421" s="15"/>
      <c r="V421" s="15"/>
    </row>
    <row r="422" spans="1:22">
      <c r="A422" s="253"/>
      <c r="B422" s="317"/>
      <c r="C422" s="318"/>
      <c r="D422" s="319"/>
      <c r="E422" s="331"/>
      <c r="F422" s="331"/>
      <c r="G422" s="319"/>
      <c r="H422" s="319"/>
      <c r="I422" s="319"/>
      <c r="J422" s="320"/>
      <c r="K422" s="318"/>
      <c r="L422" s="319"/>
      <c r="M422" s="319"/>
      <c r="N422" s="319"/>
      <c r="O422" s="318"/>
      <c r="P422" s="321"/>
      <c r="Q422" s="319"/>
      <c r="R422" s="322"/>
      <c r="S422" s="15"/>
      <c r="T422" s="15"/>
      <c r="U422" s="15"/>
      <c r="V422" s="15"/>
    </row>
    <row r="423" spans="1:22">
      <c r="A423" s="253"/>
      <c r="B423" s="234"/>
      <c r="C423" s="249"/>
      <c r="D423" s="250"/>
      <c r="E423" s="250"/>
      <c r="F423" s="250"/>
      <c r="G423" s="250"/>
      <c r="H423" s="250"/>
      <c r="I423" s="250"/>
      <c r="J423" s="251"/>
      <c r="K423" s="249"/>
      <c r="L423" s="250"/>
      <c r="M423" s="250"/>
      <c r="N423" s="250"/>
      <c r="O423" s="249"/>
      <c r="P423" s="249"/>
      <c r="Q423" s="250"/>
      <c r="R423" s="252"/>
      <c r="S423" s="15"/>
      <c r="T423" s="15"/>
      <c r="U423" s="15"/>
      <c r="V423" s="15"/>
    </row>
    <row r="424" spans="1:22">
      <c r="A424" s="253"/>
      <c r="B424" s="254"/>
      <c r="C424" s="255"/>
      <c r="D424" s="256"/>
      <c r="E424" s="256"/>
      <c r="F424" s="256"/>
      <c r="G424" s="256"/>
      <c r="H424" s="256"/>
      <c r="I424" s="256"/>
      <c r="J424" s="257"/>
      <c r="K424" s="255"/>
      <c r="L424" s="256"/>
      <c r="M424" s="256"/>
      <c r="N424" s="256"/>
      <c r="O424" s="255"/>
      <c r="P424" s="255"/>
      <c r="Q424" s="256"/>
      <c r="R424" s="258"/>
      <c r="S424" s="15"/>
      <c r="T424" s="15"/>
      <c r="U424" s="15"/>
      <c r="V424" s="15"/>
    </row>
    <row r="425" spans="1:22">
      <c r="A425" s="253"/>
      <c r="B425" s="317"/>
      <c r="C425" s="318"/>
      <c r="D425" s="319"/>
      <c r="E425" s="331"/>
      <c r="F425" s="331"/>
      <c r="G425" s="319"/>
      <c r="H425" s="319"/>
      <c r="I425" s="319"/>
      <c r="J425" s="320"/>
      <c r="K425" s="318"/>
      <c r="L425" s="319"/>
      <c r="M425" s="319"/>
      <c r="N425" s="319"/>
      <c r="O425" s="318"/>
      <c r="P425" s="321"/>
      <c r="Q425" s="319"/>
      <c r="R425" s="322"/>
      <c r="S425" s="15"/>
      <c r="T425" s="15"/>
      <c r="U425" s="15"/>
      <c r="V425" s="15"/>
    </row>
    <row r="426" spans="1:22">
      <c r="A426" s="253"/>
      <c r="B426" s="234"/>
      <c r="C426" s="249"/>
      <c r="D426" s="250"/>
      <c r="E426" s="250"/>
      <c r="F426" s="250"/>
      <c r="G426" s="250"/>
      <c r="H426" s="250"/>
      <c r="I426" s="250"/>
      <c r="J426" s="251"/>
      <c r="K426" s="249"/>
      <c r="L426" s="250"/>
      <c r="M426" s="250"/>
      <c r="N426" s="250"/>
      <c r="O426" s="249"/>
      <c r="P426" s="249"/>
      <c r="Q426" s="250"/>
      <c r="R426" s="252"/>
      <c r="S426" s="15"/>
      <c r="T426" s="15"/>
      <c r="U426" s="15"/>
      <c r="V426" s="15"/>
    </row>
    <row r="427" spans="1:22">
      <c r="A427" s="253"/>
      <c r="B427" s="254"/>
      <c r="C427" s="255"/>
      <c r="D427" s="256"/>
      <c r="E427" s="256"/>
      <c r="F427" s="256"/>
      <c r="G427" s="256"/>
      <c r="H427" s="256"/>
      <c r="I427" s="256"/>
      <c r="J427" s="257"/>
      <c r="K427" s="255"/>
      <c r="L427" s="256"/>
      <c r="M427" s="256"/>
      <c r="N427" s="256"/>
      <c r="O427" s="255"/>
      <c r="P427" s="255"/>
      <c r="Q427" s="256"/>
      <c r="R427" s="258"/>
      <c r="S427" s="15"/>
      <c r="T427" s="15"/>
      <c r="U427" s="15"/>
      <c r="V427" s="15"/>
    </row>
    <row r="428" spans="1:22">
      <c r="A428" s="253"/>
      <c r="B428" s="317"/>
      <c r="C428" s="318"/>
      <c r="D428" s="319"/>
      <c r="E428" s="331"/>
      <c r="F428" s="331"/>
      <c r="G428" s="319"/>
      <c r="H428" s="331"/>
      <c r="I428" s="319"/>
      <c r="J428" s="320"/>
      <c r="K428" s="318"/>
      <c r="L428" s="319"/>
      <c r="M428" s="319"/>
      <c r="N428" s="319"/>
      <c r="O428" s="318"/>
      <c r="P428" s="321"/>
      <c r="Q428" s="319"/>
      <c r="R428" s="322"/>
      <c r="S428" s="15"/>
      <c r="T428" s="15"/>
      <c r="U428" s="15"/>
      <c r="V428" s="15"/>
    </row>
    <row r="429" spans="1:22">
      <c r="A429" s="253"/>
      <c r="B429" s="234"/>
      <c r="C429" s="249"/>
      <c r="D429" s="250"/>
      <c r="E429" s="250"/>
      <c r="F429" s="250"/>
      <c r="G429" s="250"/>
      <c r="H429" s="250"/>
      <c r="I429" s="250"/>
      <c r="J429" s="251"/>
      <c r="K429" s="249"/>
      <c r="L429" s="250"/>
      <c r="M429" s="250"/>
      <c r="N429" s="250"/>
      <c r="O429" s="249"/>
      <c r="P429" s="249"/>
      <c r="Q429" s="250"/>
      <c r="R429" s="252"/>
      <c r="S429" s="15"/>
      <c r="T429" s="15"/>
      <c r="U429" s="15"/>
      <c r="V429" s="15"/>
    </row>
    <row r="430" spans="1:22">
      <c r="A430" s="253"/>
      <c r="B430" s="254"/>
      <c r="C430" s="255"/>
      <c r="D430" s="256"/>
      <c r="E430" s="256"/>
      <c r="F430" s="256"/>
      <c r="G430" s="256"/>
      <c r="H430" s="256"/>
      <c r="I430" s="256"/>
      <c r="J430" s="257"/>
      <c r="K430" s="255"/>
      <c r="L430" s="256"/>
      <c r="M430" s="256"/>
      <c r="N430" s="256"/>
      <c r="O430" s="255"/>
      <c r="P430" s="255"/>
      <c r="Q430" s="256"/>
      <c r="R430" s="258"/>
      <c r="S430" s="15"/>
      <c r="T430" s="15"/>
      <c r="U430" s="15"/>
      <c r="V430" s="15"/>
    </row>
    <row r="431" spans="1:22">
      <c r="A431" s="253"/>
      <c r="B431" s="317"/>
      <c r="C431" s="318"/>
      <c r="D431" s="319"/>
      <c r="E431" s="319"/>
      <c r="F431" s="319"/>
      <c r="G431" s="319"/>
      <c r="H431" s="319"/>
      <c r="I431" s="319"/>
      <c r="J431" s="320"/>
      <c r="K431" s="318"/>
      <c r="L431" s="319"/>
      <c r="M431" s="319"/>
      <c r="N431" s="319"/>
      <c r="O431" s="318"/>
      <c r="P431" s="321"/>
      <c r="Q431" s="319"/>
      <c r="R431" s="322"/>
      <c r="S431" s="15"/>
      <c r="T431" s="15"/>
      <c r="U431" s="15"/>
      <c r="V431" s="15"/>
    </row>
    <row r="432" spans="1:22">
      <c r="A432" s="253"/>
      <c r="B432" s="234"/>
      <c r="C432" s="249"/>
      <c r="D432" s="250"/>
      <c r="E432" s="250"/>
      <c r="F432" s="250"/>
      <c r="G432" s="250"/>
      <c r="H432" s="250"/>
      <c r="I432" s="250"/>
      <c r="J432" s="251"/>
      <c r="K432" s="249"/>
      <c r="L432" s="250"/>
      <c r="M432" s="250"/>
      <c r="N432" s="250"/>
      <c r="O432" s="249"/>
      <c r="P432" s="249"/>
      <c r="Q432" s="250"/>
      <c r="R432" s="252"/>
      <c r="S432" s="15"/>
      <c r="T432" s="15"/>
      <c r="U432" s="15"/>
      <c r="V432" s="15"/>
    </row>
    <row r="433" spans="1:22">
      <c r="A433" s="253"/>
      <c r="B433" s="254"/>
      <c r="C433" s="255"/>
      <c r="D433" s="256"/>
      <c r="E433" s="256"/>
      <c r="F433" s="256"/>
      <c r="G433" s="256"/>
      <c r="H433" s="256"/>
      <c r="I433" s="256"/>
      <c r="J433" s="257"/>
      <c r="K433" s="255"/>
      <c r="L433" s="256"/>
      <c r="M433" s="256"/>
      <c r="N433" s="256"/>
      <c r="O433" s="255"/>
      <c r="P433" s="255"/>
      <c r="Q433" s="256"/>
      <c r="R433" s="258"/>
      <c r="S433" s="15"/>
      <c r="T433" s="15"/>
      <c r="U433" s="15"/>
      <c r="V433" s="15"/>
    </row>
    <row r="434" spans="1:22">
      <c r="A434" s="253"/>
      <c r="B434" s="317"/>
      <c r="C434" s="318"/>
      <c r="D434" s="319"/>
      <c r="E434" s="319"/>
      <c r="F434" s="319"/>
      <c r="G434" s="319"/>
      <c r="H434" s="319"/>
      <c r="I434" s="319"/>
      <c r="J434" s="320"/>
      <c r="K434" s="318"/>
      <c r="L434" s="319"/>
      <c r="M434" s="319"/>
      <c r="N434" s="319"/>
      <c r="O434" s="318"/>
      <c r="P434" s="321"/>
      <c r="Q434" s="319"/>
      <c r="R434" s="322"/>
      <c r="S434" s="15"/>
      <c r="T434" s="15"/>
      <c r="U434" s="15"/>
      <c r="V434" s="15"/>
    </row>
    <row r="435" spans="1:22">
      <c r="A435" s="253"/>
      <c r="B435" s="234"/>
      <c r="C435" s="249"/>
      <c r="D435" s="250"/>
      <c r="E435" s="250"/>
      <c r="F435" s="250"/>
      <c r="G435" s="250"/>
      <c r="H435" s="250"/>
      <c r="I435" s="250"/>
      <c r="J435" s="251"/>
      <c r="K435" s="249"/>
      <c r="L435" s="250"/>
      <c r="M435" s="250"/>
      <c r="N435" s="250"/>
      <c r="O435" s="249"/>
      <c r="P435" s="249"/>
      <c r="Q435" s="250"/>
      <c r="R435" s="252"/>
      <c r="S435" s="15"/>
      <c r="T435" s="15"/>
      <c r="U435" s="15"/>
      <c r="V435" s="15"/>
    </row>
    <row r="436" spans="1:22">
      <c r="A436" s="253"/>
      <c r="B436" s="254"/>
      <c r="C436" s="255"/>
      <c r="D436" s="256"/>
      <c r="E436" s="256"/>
      <c r="F436" s="256"/>
      <c r="G436" s="256"/>
      <c r="H436" s="256"/>
      <c r="I436" s="256"/>
      <c r="J436" s="257"/>
      <c r="K436" s="255"/>
      <c r="L436" s="256"/>
      <c r="M436" s="256"/>
      <c r="N436" s="256"/>
      <c r="O436" s="255"/>
      <c r="P436" s="255"/>
      <c r="Q436" s="256"/>
      <c r="R436" s="258"/>
      <c r="S436" s="15"/>
      <c r="T436" s="15"/>
      <c r="U436" s="15"/>
      <c r="V436" s="15"/>
    </row>
    <row r="437" spans="1:22">
      <c r="A437" s="260"/>
      <c r="B437" s="317"/>
      <c r="C437" s="318"/>
      <c r="D437" s="319"/>
      <c r="E437" s="319"/>
      <c r="F437" s="319"/>
      <c r="G437" s="319"/>
      <c r="H437" s="319"/>
      <c r="I437" s="319"/>
      <c r="J437" s="320"/>
      <c r="K437" s="318"/>
      <c r="L437" s="319"/>
      <c r="M437" s="319"/>
      <c r="N437" s="319"/>
      <c r="O437" s="318"/>
      <c r="P437" s="321"/>
      <c r="Q437" s="319"/>
      <c r="R437" s="322"/>
      <c r="S437" s="15"/>
      <c r="T437" s="15"/>
      <c r="U437" s="15"/>
      <c r="V437" s="15"/>
    </row>
    <row r="438" spans="1:22">
      <c r="A438" s="248"/>
      <c r="B438" s="234"/>
      <c r="C438" s="249"/>
      <c r="D438" s="250"/>
      <c r="E438" s="250"/>
      <c r="F438" s="250"/>
      <c r="G438" s="250"/>
      <c r="H438" s="250"/>
      <c r="I438" s="250"/>
      <c r="J438" s="251"/>
      <c r="K438" s="249"/>
      <c r="L438" s="250"/>
      <c r="M438" s="250"/>
      <c r="N438" s="250"/>
      <c r="O438" s="249"/>
      <c r="P438" s="249"/>
      <c r="Q438" s="250"/>
      <c r="R438" s="252"/>
      <c r="S438" s="15"/>
      <c r="T438" s="15"/>
      <c r="U438" s="15"/>
      <c r="V438" s="15"/>
    </row>
    <row r="439" spans="1:22">
      <c r="A439" s="253"/>
      <c r="B439" s="254"/>
      <c r="C439" s="255"/>
      <c r="D439" s="256"/>
      <c r="E439" s="256"/>
      <c r="F439" s="256"/>
      <c r="G439" s="256"/>
      <c r="H439" s="256"/>
      <c r="I439" s="256"/>
      <c r="J439" s="257"/>
      <c r="K439" s="255"/>
      <c r="L439" s="256"/>
      <c r="M439" s="256"/>
      <c r="N439" s="256"/>
      <c r="O439" s="255"/>
      <c r="P439" s="255"/>
      <c r="Q439" s="256"/>
      <c r="R439" s="258"/>
      <c r="S439" s="15"/>
      <c r="T439" s="15"/>
      <c r="U439" s="15"/>
      <c r="V439" s="15"/>
    </row>
    <row r="440" spans="1:22">
      <c r="A440" s="253"/>
      <c r="B440" s="317"/>
      <c r="C440" s="318"/>
      <c r="D440" s="319"/>
      <c r="E440" s="319"/>
      <c r="F440" s="319"/>
      <c r="G440" s="331"/>
      <c r="H440" s="319"/>
      <c r="I440" s="319"/>
      <c r="J440" s="320"/>
      <c r="K440" s="318"/>
      <c r="L440" s="319"/>
      <c r="M440" s="331"/>
      <c r="N440" s="319"/>
      <c r="O440" s="318"/>
      <c r="P440" s="321"/>
      <c r="Q440" s="319"/>
      <c r="R440" s="322"/>
      <c r="S440" s="15"/>
      <c r="T440" s="15"/>
      <c r="U440" s="15"/>
      <c r="V440" s="15"/>
    </row>
    <row r="441" spans="1:22">
      <c r="A441" s="253"/>
      <c r="B441" s="234"/>
      <c r="C441" s="249"/>
      <c r="D441" s="250"/>
      <c r="E441" s="250"/>
      <c r="F441" s="250"/>
      <c r="G441" s="250"/>
      <c r="H441" s="250"/>
      <c r="I441" s="250"/>
      <c r="J441" s="251"/>
      <c r="K441" s="249"/>
      <c r="L441" s="250"/>
      <c r="M441" s="250"/>
      <c r="N441" s="250"/>
      <c r="O441" s="249"/>
      <c r="P441" s="249"/>
      <c r="Q441" s="250"/>
      <c r="R441" s="252"/>
      <c r="S441" s="15"/>
      <c r="T441" s="15"/>
      <c r="U441" s="15"/>
      <c r="V441" s="15"/>
    </row>
    <row r="442" spans="1:22">
      <c r="A442" s="253"/>
      <c r="B442" s="254"/>
      <c r="C442" s="255"/>
      <c r="D442" s="256"/>
      <c r="E442" s="256"/>
      <c r="F442" s="256"/>
      <c r="G442" s="256"/>
      <c r="H442" s="256"/>
      <c r="I442" s="256"/>
      <c r="J442" s="257"/>
      <c r="K442" s="255"/>
      <c r="L442" s="256"/>
      <c r="M442" s="256"/>
      <c r="N442" s="256"/>
      <c r="O442" s="255"/>
      <c r="P442" s="255"/>
      <c r="Q442" s="256"/>
      <c r="R442" s="258"/>
      <c r="S442" s="15"/>
      <c r="T442" s="15"/>
      <c r="U442" s="15"/>
      <c r="V442" s="15"/>
    </row>
    <row r="443" spans="1:22">
      <c r="A443" s="253"/>
      <c r="B443" s="317"/>
      <c r="C443" s="318"/>
      <c r="D443" s="319"/>
      <c r="E443" s="319"/>
      <c r="F443" s="319"/>
      <c r="G443" s="331"/>
      <c r="H443" s="319"/>
      <c r="I443" s="319"/>
      <c r="J443" s="320"/>
      <c r="K443" s="318"/>
      <c r="L443" s="319"/>
      <c r="M443" s="331"/>
      <c r="N443" s="319"/>
      <c r="O443" s="318"/>
      <c r="P443" s="321"/>
      <c r="Q443" s="319"/>
      <c r="R443" s="322"/>
      <c r="S443" s="15"/>
      <c r="T443" s="15"/>
      <c r="U443" s="15"/>
      <c r="V443" s="15"/>
    </row>
    <row r="444" spans="1:22">
      <c r="A444" s="253"/>
      <c r="B444" s="234"/>
      <c r="C444" s="249"/>
      <c r="D444" s="250"/>
      <c r="E444" s="250"/>
      <c r="F444" s="250"/>
      <c r="G444" s="250"/>
      <c r="H444" s="250"/>
      <c r="I444" s="250"/>
      <c r="J444" s="251"/>
      <c r="K444" s="249"/>
      <c r="L444" s="250"/>
      <c r="M444" s="250"/>
      <c r="N444" s="250"/>
      <c r="O444" s="249"/>
      <c r="P444" s="249"/>
      <c r="Q444" s="250"/>
      <c r="R444" s="252"/>
      <c r="S444" s="15"/>
      <c r="T444" s="15"/>
      <c r="U444" s="15"/>
      <c r="V444" s="15"/>
    </row>
    <row r="445" spans="1:22">
      <c r="A445" s="253"/>
      <c r="B445" s="254"/>
      <c r="C445" s="255"/>
      <c r="D445" s="256"/>
      <c r="E445" s="256"/>
      <c r="F445" s="256"/>
      <c r="G445" s="256"/>
      <c r="H445" s="256"/>
      <c r="I445" s="256"/>
      <c r="J445" s="257"/>
      <c r="K445" s="255"/>
      <c r="L445" s="256"/>
      <c r="M445" s="256"/>
      <c r="N445" s="256"/>
      <c r="O445" s="255"/>
      <c r="P445" s="255"/>
      <c r="Q445" s="256"/>
      <c r="R445" s="258"/>
      <c r="S445" s="15"/>
      <c r="T445" s="15"/>
      <c r="U445" s="15"/>
      <c r="V445" s="15"/>
    </row>
    <row r="446" spans="1:22">
      <c r="A446" s="253"/>
      <c r="B446" s="317"/>
      <c r="C446" s="318"/>
      <c r="D446" s="319"/>
      <c r="E446" s="319"/>
      <c r="F446" s="319"/>
      <c r="G446" s="319"/>
      <c r="H446" s="319"/>
      <c r="I446" s="319"/>
      <c r="J446" s="320"/>
      <c r="K446" s="318"/>
      <c r="L446" s="319"/>
      <c r="M446" s="319"/>
      <c r="N446" s="319"/>
      <c r="O446" s="318"/>
      <c r="P446" s="321"/>
      <c r="Q446" s="319"/>
      <c r="R446" s="322"/>
      <c r="S446" s="15"/>
      <c r="T446" s="15"/>
      <c r="U446" s="15"/>
      <c r="V446" s="15"/>
    </row>
    <row r="447" spans="1:22">
      <c r="A447" s="253"/>
      <c r="B447" s="234"/>
      <c r="C447" s="249"/>
      <c r="D447" s="250"/>
      <c r="E447" s="250"/>
      <c r="F447" s="250"/>
      <c r="G447" s="250"/>
      <c r="H447" s="250"/>
      <c r="I447" s="250"/>
      <c r="J447" s="251"/>
      <c r="K447" s="249"/>
      <c r="L447" s="250"/>
      <c r="M447" s="250"/>
      <c r="N447" s="250"/>
      <c r="O447" s="249"/>
      <c r="P447" s="249"/>
      <c r="Q447" s="250"/>
      <c r="R447" s="252"/>
      <c r="S447" s="15"/>
      <c r="T447" s="15"/>
      <c r="U447" s="15"/>
      <c r="V447" s="15"/>
    </row>
    <row r="448" spans="1:22">
      <c r="A448" s="253"/>
      <c r="B448" s="254"/>
      <c r="C448" s="255"/>
      <c r="D448" s="256"/>
      <c r="E448" s="256"/>
      <c r="F448" s="256"/>
      <c r="G448" s="256"/>
      <c r="H448" s="256"/>
      <c r="I448" s="256"/>
      <c r="J448" s="257"/>
      <c r="K448" s="255"/>
      <c r="L448" s="256"/>
      <c r="M448" s="256"/>
      <c r="N448" s="256"/>
      <c r="O448" s="255"/>
      <c r="P448" s="255"/>
      <c r="Q448" s="256"/>
      <c r="R448" s="258"/>
      <c r="S448" s="15"/>
      <c r="T448" s="15"/>
      <c r="U448" s="15"/>
      <c r="V448" s="15"/>
    </row>
    <row r="449" spans="1:22">
      <c r="A449" s="253"/>
      <c r="B449" s="317"/>
      <c r="C449" s="318"/>
      <c r="D449" s="319"/>
      <c r="E449" s="319"/>
      <c r="F449" s="319"/>
      <c r="G449" s="319"/>
      <c r="H449" s="319"/>
      <c r="I449" s="319"/>
      <c r="J449" s="320"/>
      <c r="K449" s="318"/>
      <c r="L449" s="319"/>
      <c r="M449" s="319"/>
      <c r="N449" s="319"/>
      <c r="O449" s="318"/>
      <c r="P449" s="321"/>
      <c r="Q449" s="319"/>
      <c r="R449" s="322"/>
      <c r="S449" s="15"/>
      <c r="T449" s="15"/>
      <c r="U449" s="15"/>
      <c r="V449" s="15"/>
    </row>
    <row r="450" spans="1:22">
      <c r="A450" s="253"/>
      <c r="B450" s="234"/>
      <c r="C450" s="249"/>
      <c r="D450" s="250"/>
      <c r="E450" s="250"/>
      <c r="F450" s="250"/>
      <c r="G450" s="250"/>
      <c r="H450" s="250"/>
      <c r="I450" s="250"/>
      <c r="J450" s="251"/>
      <c r="K450" s="249"/>
      <c r="L450" s="250"/>
      <c r="M450" s="250"/>
      <c r="N450" s="250"/>
      <c r="O450" s="249"/>
      <c r="P450" s="249"/>
      <c r="Q450" s="250"/>
      <c r="R450" s="252"/>
      <c r="S450" s="15"/>
      <c r="T450" s="15"/>
      <c r="U450" s="15"/>
      <c r="V450" s="15"/>
    </row>
    <row r="451" spans="1:22">
      <c r="A451" s="253"/>
      <c r="B451" s="254"/>
      <c r="C451" s="255"/>
      <c r="D451" s="256"/>
      <c r="E451" s="256"/>
      <c r="F451" s="256"/>
      <c r="G451" s="256"/>
      <c r="H451" s="256"/>
      <c r="I451" s="256"/>
      <c r="J451" s="257"/>
      <c r="K451" s="255"/>
      <c r="L451" s="256"/>
      <c r="M451" s="256"/>
      <c r="N451" s="256"/>
      <c r="O451" s="255"/>
      <c r="P451" s="255"/>
      <c r="Q451" s="256"/>
      <c r="R451" s="258"/>
      <c r="S451" s="15"/>
      <c r="T451" s="15"/>
      <c r="U451" s="15"/>
      <c r="V451" s="15"/>
    </row>
    <row r="452" spans="1:22">
      <c r="A452" s="253"/>
      <c r="B452" s="317"/>
      <c r="C452" s="318"/>
      <c r="D452" s="319"/>
      <c r="E452" s="319"/>
      <c r="F452" s="319"/>
      <c r="G452" s="319"/>
      <c r="H452" s="319"/>
      <c r="I452" s="319"/>
      <c r="J452" s="320"/>
      <c r="K452" s="318"/>
      <c r="L452" s="319"/>
      <c r="M452" s="319"/>
      <c r="N452" s="319"/>
      <c r="O452" s="318"/>
      <c r="P452" s="321"/>
      <c r="Q452" s="319"/>
      <c r="R452" s="322"/>
      <c r="S452" s="15"/>
      <c r="T452" s="15"/>
      <c r="U452" s="15"/>
      <c r="V452" s="15"/>
    </row>
    <row r="453" spans="1:22">
      <c r="A453" s="253"/>
      <c r="B453" s="234"/>
      <c r="C453" s="249"/>
      <c r="D453" s="250"/>
      <c r="E453" s="250"/>
      <c r="F453" s="250"/>
      <c r="G453" s="250"/>
      <c r="H453" s="250"/>
      <c r="I453" s="250"/>
      <c r="J453" s="251"/>
      <c r="K453" s="249"/>
      <c r="L453" s="250"/>
      <c r="M453" s="250"/>
      <c r="N453" s="250"/>
      <c r="O453" s="249"/>
      <c r="P453" s="249"/>
      <c r="Q453" s="250"/>
      <c r="R453" s="252"/>
      <c r="S453" s="15"/>
      <c r="T453" s="15"/>
      <c r="U453" s="15"/>
      <c r="V453" s="15"/>
    </row>
    <row r="454" spans="1:22">
      <c r="A454" s="253"/>
      <c r="B454" s="254"/>
      <c r="C454" s="255"/>
      <c r="D454" s="256"/>
      <c r="E454" s="256"/>
      <c r="F454" s="256"/>
      <c r="G454" s="256"/>
      <c r="H454" s="256"/>
      <c r="I454" s="256"/>
      <c r="J454" s="257"/>
      <c r="K454" s="255"/>
      <c r="L454" s="256"/>
      <c r="M454" s="256"/>
      <c r="N454" s="256"/>
      <c r="O454" s="255"/>
      <c r="P454" s="255"/>
      <c r="Q454" s="256"/>
      <c r="R454" s="258"/>
      <c r="S454" s="15"/>
      <c r="T454" s="15"/>
      <c r="U454" s="15"/>
      <c r="V454" s="15"/>
    </row>
    <row r="455" spans="1:22">
      <c r="A455" s="253"/>
      <c r="B455" s="317"/>
      <c r="C455" s="318"/>
      <c r="D455" s="319"/>
      <c r="E455" s="319"/>
      <c r="F455" s="319"/>
      <c r="G455" s="319"/>
      <c r="H455" s="319"/>
      <c r="I455" s="319"/>
      <c r="J455" s="320"/>
      <c r="K455" s="318"/>
      <c r="L455" s="319"/>
      <c r="M455" s="319"/>
      <c r="N455" s="319"/>
      <c r="O455" s="318"/>
      <c r="P455" s="321"/>
      <c r="Q455" s="319"/>
      <c r="R455" s="322"/>
      <c r="S455" s="15"/>
      <c r="T455" s="15"/>
      <c r="U455" s="15"/>
      <c r="V455" s="15"/>
    </row>
    <row r="456" spans="1:22">
      <c r="A456" s="253"/>
      <c r="B456" s="234"/>
      <c r="C456" s="249"/>
      <c r="D456" s="250"/>
      <c r="E456" s="250"/>
      <c r="F456" s="250"/>
      <c r="G456" s="250"/>
      <c r="H456" s="250"/>
      <c r="I456" s="250"/>
      <c r="J456" s="251"/>
      <c r="K456" s="249"/>
      <c r="L456" s="250"/>
      <c r="M456" s="250"/>
      <c r="N456" s="250"/>
      <c r="O456" s="249"/>
      <c r="P456" s="249"/>
      <c r="Q456" s="250"/>
      <c r="R456" s="252"/>
      <c r="S456" s="15"/>
      <c r="T456" s="15"/>
      <c r="U456" s="15"/>
      <c r="V456" s="15"/>
    </row>
    <row r="457" spans="1:22">
      <c r="A457" s="253"/>
      <c r="B457" s="254"/>
      <c r="C457" s="255"/>
      <c r="D457" s="256"/>
      <c r="E457" s="256"/>
      <c r="F457" s="256"/>
      <c r="G457" s="256"/>
      <c r="H457" s="256"/>
      <c r="I457" s="256"/>
      <c r="J457" s="257"/>
      <c r="K457" s="255"/>
      <c r="L457" s="256"/>
      <c r="M457" s="256"/>
      <c r="N457" s="256"/>
      <c r="O457" s="255"/>
      <c r="P457" s="255"/>
      <c r="Q457" s="256"/>
      <c r="R457" s="258"/>
      <c r="S457" s="15"/>
      <c r="T457" s="15"/>
      <c r="U457" s="15"/>
      <c r="V457" s="15"/>
    </row>
    <row r="458" spans="1:22">
      <c r="A458" s="253"/>
      <c r="B458" s="317"/>
      <c r="C458" s="318"/>
      <c r="D458" s="331"/>
      <c r="E458" s="319"/>
      <c r="F458" s="319"/>
      <c r="G458" s="331"/>
      <c r="H458" s="319"/>
      <c r="I458" s="319"/>
      <c r="J458" s="320"/>
      <c r="K458" s="318"/>
      <c r="L458" s="319"/>
      <c r="M458" s="319"/>
      <c r="N458" s="319"/>
      <c r="O458" s="318"/>
      <c r="P458" s="321"/>
      <c r="Q458" s="319"/>
      <c r="R458" s="322"/>
      <c r="S458" s="15"/>
      <c r="T458" s="15"/>
      <c r="U458" s="15"/>
      <c r="V458" s="15"/>
    </row>
    <row r="459" spans="1:22">
      <c r="A459" s="253"/>
      <c r="B459" s="234"/>
      <c r="C459" s="249"/>
      <c r="D459" s="250"/>
      <c r="E459" s="250"/>
      <c r="F459" s="250"/>
      <c r="G459" s="250"/>
      <c r="H459" s="250"/>
      <c r="I459" s="250"/>
      <c r="J459" s="251"/>
      <c r="K459" s="249"/>
      <c r="L459" s="250"/>
      <c r="M459" s="250"/>
      <c r="N459" s="250"/>
      <c r="O459" s="249"/>
      <c r="P459" s="249"/>
      <c r="Q459" s="250"/>
      <c r="R459" s="252"/>
      <c r="S459" s="15"/>
      <c r="T459" s="15"/>
      <c r="U459" s="15"/>
      <c r="V459" s="15"/>
    </row>
    <row r="460" spans="1:22">
      <c r="A460" s="253"/>
      <c r="B460" s="254"/>
      <c r="C460" s="255"/>
      <c r="D460" s="256"/>
      <c r="E460" s="256"/>
      <c r="F460" s="256"/>
      <c r="G460" s="256"/>
      <c r="H460" s="256"/>
      <c r="I460" s="256"/>
      <c r="J460" s="257"/>
      <c r="K460" s="255"/>
      <c r="L460" s="256"/>
      <c r="M460" s="256"/>
      <c r="N460" s="256"/>
      <c r="O460" s="255"/>
      <c r="P460" s="255"/>
      <c r="Q460" s="256"/>
      <c r="R460" s="258"/>
      <c r="S460" s="15"/>
      <c r="T460" s="15"/>
      <c r="U460" s="15"/>
      <c r="V460" s="15"/>
    </row>
    <row r="461" spans="1:22">
      <c r="A461" s="253"/>
      <c r="B461" s="317"/>
      <c r="C461" s="318"/>
      <c r="D461" s="331"/>
      <c r="E461" s="319"/>
      <c r="F461" s="319"/>
      <c r="G461" s="319"/>
      <c r="H461" s="319"/>
      <c r="I461" s="319"/>
      <c r="J461" s="320"/>
      <c r="K461" s="318"/>
      <c r="L461" s="319"/>
      <c r="M461" s="319"/>
      <c r="N461" s="319"/>
      <c r="O461" s="318"/>
      <c r="P461" s="321"/>
      <c r="Q461" s="319"/>
      <c r="R461" s="322"/>
      <c r="S461" s="15"/>
      <c r="T461" s="15"/>
      <c r="U461" s="15"/>
      <c r="V461" s="15"/>
    </row>
    <row r="462" spans="1:22">
      <c r="A462" s="253"/>
      <c r="B462" s="234"/>
      <c r="C462" s="249"/>
      <c r="D462" s="250"/>
      <c r="E462" s="250"/>
      <c r="F462" s="250"/>
      <c r="G462" s="250"/>
      <c r="H462" s="250"/>
      <c r="I462" s="250"/>
      <c r="J462" s="251"/>
      <c r="K462" s="249"/>
      <c r="L462" s="250"/>
      <c r="M462" s="250"/>
      <c r="N462" s="250"/>
      <c r="O462" s="249"/>
      <c r="P462" s="249"/>
      <c r="Q462" s="250"/>
      <c r="R462" s="252"/>
      <c r="S462" s="15"/>
      <c r="T462" s="15"/>
      <c r="U462" s="15"/>
      <c r="V462" s="15"/>
    </row>
    <row r="463" spans="1:22">
      <c r="A463" s="253"/>
      <c r="B463" s="254"/>
      <c r="C463" s="255"/>
      <c r="D463" s="256"/>
      <c r="E463" s="256"/>
      <c r="F463" s="256"/>
      <c r="G463" s="256"/>
      <c r="H463" s="256"/>
      <c r="I463" s="256"/>
      <c r="J463" s="257"/>
      <c r="K463" s="255"/>
      <c r="L463" s="256"/>
      <c r="M463" s="256"/>
      <c r="N463" s="256"/>
      <c r="O463" s="255"/>
      <c r="P463" s="255"/>
      <c r="Q463" s="256"/>
      <c r="R463" s="258"/>
      <c r="S463" s="15"/>
      <c r="T463" s="15"/>
      <c r="U463" s="15"/>
      <c r="V463" s="15"/>
    </row>
    <row r="464" spans="1:22">
      <c r="A464" s="253"/>
      <c r="B464" s="317"/>
      <c r="C464" s="318"/>
      <c r="D464" s="319"/>
      <c r="E464" s="319"/>
      <c r="F464" s="319"/>
      <c r="G464" s="331"/>
      <c r="H464" s="319"/>
      <c r="I464" s="319"/>
      <c r="J464" s="320"/>
      <c r="K464" s="318"/>
      <c r="L464" s="319"/>
      <c r="M464" s="319"/>
      <c r="N464" s="319"/>
      <c r="O464" s="318"/>
      <c r="P464" s="321"/>
      <c r="Q464" s="319"/>
      <c r="R464" s="322"/>
      <c r="S464" s="15"/>
      <c r="T464" s="15"/>
      <c r="U464" s="15"/>
      <c r="V464" s="15"/>
    </row>
    <row r="465" spans="1:22">
      <c r="A465" s="253"/>
      <c r="B465" s="234"/>
      <c r="C465" s="249"/>
      <c r="D465" s="250"/>
      <c r="E465" s="250"/>
      <c r="F465" s="250"/>
      <c r="G465" s="250"/>
      <c r="H465" s="250"/>
      <c r="I465" s="250"/>
      <c r="J465" s="251"/>
      <c r="K465" s="249"/>
      <c r="L465" s="250"/>
      <c r="M465" s="250"/>
      <c r="N465" s="250"/>
      <c r="O465" s="249"/>
      <c r="P465" s="249"/>
      <c r="Q465" s="250"/>
      <c r="R465" s="252"/>
      <c r="S465" s="15"/>
      <c r="T465" s="15"/>
      <c r="U465" s="15"/>
      <c r="V465" s="15"/>
    </row>
    <row r="466" spans="1:22">
      <c r="A466" s="253"/>
      <c r="B466" s="254"/>
      <c r="C466" s="255"/>
      <c r="D466" s="256"/>
      <c r="E466" s="256"/>
      <c r="F466" s="256"/>
      <c r="G466" s="256"/>
      <c r="H466" s="256"/>
      <c r="I466" s="256"/>
      <c r="J466" s="257"/>
      <c r="K466" s="255"/>
      <c r="L466" s="256"/>
      <c r="M466" s="256"/>
      <c r="N466" s="256"/>
      <c r="O466" s="255"/>
      <c r="P466" s="255"/>
      <c r="Q466" s="256"/>
      <c r="R466" s="258"/>
      <c r="S466" s="15"/>
      <c r="T466" s="15"/>
      <c r="U466" s="15"/>
      <c r="V466" s="15"/>
    </row>
    <row r="467" spans="1:22">
      <c r="A467" s="253"/>
      <c r="B467" s="317"/>
      <c r="C467" s="318"/>
      <c r="D467" s="319"/>
      <c r="E467" s="319"/>
      <c r="F467" s="319"/>
      <c r="G467" s="331"/>
      <c r="H467" s="319"/>
      <c r="I467" s="319"/>
      <c r="J467" s="320"/>
      <c r="K467" s="318"/>
      <c r="L467" s="319"/>
      <c r="M467" s="319"/>
      <c r="N467" s="319"/>
      <c r="O467" s="318"/>
      <c r="P467" s="321"/>
      <c r="Q467" s="319"/>
      <c r="R467" s="322"/>
      <c r="S467" s="15"/>
      <c r="T467" s="15"/>
      <c r="U467" s="15"/>
      <c r="V467" s="15"/>
    </row>
    <row r="468" spans="1:22">
      <c r="A468" s="253"/>
      <c r="B468" s="234"/>
      <c r="C468" s="249"/>
      <c r="D468" s="250"/>
      <c r="E468" s="250"/>
      <c r="F468" s="250"/>
      <c r="G468" s="250"/>
      <c r="H468" s="250"/>
      <c r="I468" s="250"/>
      <c r="J468" s="251"/>
      <c r="K468" s="249"/>
      <c r="L468" s="250"/>
      <c r="M468" s="250"/>
      <c r="N468" s="250"/>
      <c r="O468" s="249"/>
      <c r="P468" s="249"/>
      <c r="Q468" s="250"/>
      <c r="R468" s="252"/>
      <c r="S468" s="15"/>
      <c r="T468" s="15"/>
      <c r="U468" s="15"/>
      <c r="V468" s="15"/>
    </row>
    <row r="469" spans="1:22">
      <c r="A469" s="253"/>
      <c r="B469" s="254"/>
      <c r="C469" s="255"/>
      <c r="D469" s="256"/>
      <c r="E469" s="256"/>
      <c r="F469" s="256"/>
      <c r="G469" s="256"/>
      <c r="H469" s="256"/>
      <c r="I469" s="256"/>
      <c r="J469" s="257"/>
      <c r="K469" s="255"/>
      <c r="L469" s="256"/>
      <c r="M469" s="256"/>
      <c r="N469" s="256"/>
      <c r="O469" s="255"/>
      <c r="P469" s="255"/>
      <c r="Q469" s="256"/>
      <c r="R469" s="258"/>
      <c r="S469" s="15"/>
      <c r="T469" s="15"/>
      <c r="U469" s="15"/>
      <c r="V469" s="15"/>
    </row>
    <row r="470" spans="1:22">
      <c r="A470" s="253"/>
      <c r="B470" s="317"/>
      <c r="C470" s="318"/>
      <c r="D470" s="319"/>
      <c r="E470" s="319"/>
      <c r="F470" s="319"/>
      <c r="G470" s="319"/>
      <c r="H470" s="319"/>
      <c r="I470" s="319"/>
      <c r="J470" s="320"/>
      <c r="K470" s="318"/>
      <c r="L470" s="319"/>
      <c r="M470" s="319"/>
      <c r="N470" s="319"/>
      <c r="O470" s="318"/>
      <c r="P470" s="321"/>
      <c r="Q470" s="319"/>
      <c r="R470" s="322"/>
      <c r="S470" s="15"/>
      <c r="T470" s="15"/>
      <c r="U470" s="15"/>
      <c r="V470" s="15"/>
    </row>
    <row r="471" spans="1:22">
      <c r="A471" s="253"/>
      <c r="B471" s="234"/>
      <c r="C471" s="249"/>
      <c r="D471" s="250"/>
      <c r="E471" s="250"/>
      <c r="F471" s="250"/>
      <c r="G471" s="250"/>
      <c r="H471" s="250"/>
      <c r="I471" s="250"/>
      <c r="J471" s="251"/>
      <c r="K471" s="249"/>
      <c r="L471" s="250"/>
      <c r="M471" s="250"/>
      <c r="N471" s="250"/>
      <c r="O471" s="249"/>
      <c r="P471" s="249"/>
      <c r="Q471" s="250"/>
      <c r="R471" s="252"/>
      <c r="S471" s="15"/>
      <c r="T471" s="15"/>
      <c r="U471" s="15"/>
      <c r="V471" s="15"/>
    </row>
    <row r="472" spans="1:22">
      <c r="A472" s="253"/>
      <c r="B472" s="254"/>
      <c r="C472" s="255"/>
      <c r="D472" s="256"/>
      <c r="E472" s="256"/>
      <c r="F472" s="256"/>
      <c r="G472" s="256"/>
      <c r="H472" s="256"/>
      <c r="I472" s="256"/>
      <c r="J472" s="257"/>
      <c r="K472" s="255"/>
      <c r="L472" s="256"/>
      <c r="M472" s="256"/>
      <c r="N472" s="256"/>
      <c r="O472" s="255"/>
      <c r="P472" s="255"/>
      <c r="Q472" s="256"/>
      <c r="R472" s="258"/>
      <c r="S472" s="15"/>
      <c r="T472" s="15"/>
      <c r="U472" s="15"/>
      <c r="V472" s="15"/>
    </row>
    <row r="473" spans="1:22">
      <c r="A473" s="260"/>
      <c r="B473" s="317"/>
      <c r="C473" s="318"/>
      <c r="D473" s="331"/>
      <c r="E473" s="319"/>
      <c r="F473" s="319"/>
      <c r="G473" s="319"/>
      <c r="H473" s="319"/>
      <c r="I473" s="319"/>
      <c r="J473" s="320"/>
      <c r="K473" s="318"/>
      <c r="L473" s="319"/>
      <c r="M473" s="319"/>
      <c r="N473" s="319"/>
      <c r="O473" s="318"/>
      <c r="P473" s="321"/>
      <c r="Q473" s="319"/>
      <c r="R473" s="322"/>
      <c r="S473" s="15"/>
      <c r="T473" s="15"/>
      <c r="U473" s="15"/>
      <c r="V473" s="15"/>
    </row>
    <row r="474" spans="1:22">
      <c r="A474" s="248"/>
      <c r="B474" s="234"/>
      <c r="C474" s="249"/>
      <c r="D474" s="250"/>
      <c r="E474" s="250"/>
      <c r="F474" s="250"/>
      <c r="G474" s="250"/>
      <c r="H474" s="250"/>
      <c r="I474" s="250"/>
      <c r="J474" s="251"/>
      <c r="K474" s="249"/>
      <c r="L474" s="250"/>
      <c r="M474" s="250"/>
      <c r="N474" s="250"/>
      <c r="O474" s="249"/>
      <c r="P474" s="249"/>
      <c r="Q474" s="250"/>
      <c r="R474" s="252"/>
      <c r="S474" s="15"/>
      <c r="T474" s="15"/>
      <c r="U474" s="15"/>
      <c r="V474" s="15"/>
    </row>
    <row r="475" spans="1:22">
      <c r="A475" s="253"/>
      <c r="B475" s="254"/>
      <c r="C475" s="255"/>
      <c r="D475" s="256"/>
      <c r="E475" s="256"/>
      <c r="F475" s="256"/>
      <c r="G475" s="256"/>
      <c r="H475" s="256"/>
      <c r="I475" s="256"/>
      <c r="J475" s="257"/>
      <c r="K475" s="255"/>
      <c r="L475" s="256"/>
      <c r="M475" s="256"/>
      <c r="N475" s="256"/>
      <c r="O475" s="255"/>
      <c r="P475" s="255"/>
      <c r="Q475" s="256"/>
      <c r="R475" s="258"/>
      <c r="S475" s="15"/>
      <c r="T475" s="15"/>
      <c r="U475" s="15"/>
      <c r="V475" s="15"/>
    </row>
    <row r="476" spans="1:22">
      <c r="A476" s="253"/>
      <c r="B476" s="317"/>
      <c r="C476" s="318"/>
      <c r="D476" s="319"/>
      <c r="E476" s="319"/>
      <c r="F476" s="331"/>
      <c r="G476" s="331"/>
      <c r="H476" s="319"/>
      <c r="I476" s="319"/>
      <c r="J476" s="320"/>
      <c r="K476" s="318"/>
      <c r="L476" s="319"/>
      <c r="M476" s="319"/>
      <c r="N476" s="319"/>
      <c r="O476" s="318"/>
      <c r="P476" s="321"/>
      <c r="Q476" s="319"/>
      <c r="R476" s="322"/>
      <c r="S476" s="15"/>
      <c r="T476" s="15"/>
      <c r="U476" s="15"/>
      <c r="V476" s="15"/>
    </row>
    <row r="477" spans="1:22">
      <c r="A477" s="253"/>
      <c r="B477" s="234"/>
      <c r="C477" s="249"/>
      <c r="D477" s="250"/>
      <c r="E477" s="250"/>
      <c r="F477" s="250"/>
      <c r="G477" s="250"/>
      <c r="H477" s="250"/>
      <c r="I477" s="250"/>
      <c r="J477" s="251"/>
      <c r="K477" s="249"/>
      <c r="L477" s="250"/>
      <c r="M477" s="250"/>
      <c r="N477" s="250"/>
      <c r="O477" s="249"/>
      <c r="P477" s="249"/>
      <c r="Q477" s="250"/>
      <c r="R477" s="252"/>
      <c r="S477" s="15"/>
      <c r="T477" s="15"/>
      <c r="U477" s="15"/>
      <c r="V477" s="15"/>
    </row>
    <row r="478" spans="1:22">
      <c r="A478" s="253"/>
      <c r="B478" s="254"/>
      <c r="C478" s="255"/>
      <c r="D478" s="256"/>
      <c r="E478" s="256"/>
      <c r="F478" s="256"/>
      <c r="G478" s="256"/>
      <c r="H478" s="256"/>
      <c r="I478" s="256"/>
      <c r="J478" s="257"/>
      <c r="K478" s="255"/>
      <c r="L478" s="256"/>
      <c r="M478" s="256"/>
      <c r="N478" s="256"/>
      <c r="O478" s="255"/>
      <c r="P478" s="255"/>
      <c r="Q478" s="256"/>
      <c r="R478" s="258"/>
      <c r="S478" s="15"/>
      <c r="T478" s="15"/>
      <c r="U478" s="15"/>
      <c r="V478" s="15"/>
    </row>
    <row r="479" spans="1:22">
      <c r="A479" s="253"/>
      <c r="B479" s="317"/>
      <c r="C479" s="318"/>
      <c r="D479" s="319"/>
      <c r="E479" s="319"/>
      <c r="F479" s="331"/>
      <c r="G479" s="319"/>
      <c r="H479" s="319"/>
      <c r="I479" s="319"/>
      <c r="J479" s="320"/>
      <c r="K479" s="318"/>
      <c r="L479" s="319"/>
      <c r="M479" s="319"/>
      <c r="N479" s="319"/>
      <c r="O479" s="318"/>
      <c r="P479" s="321"/>
      <c r="Q479" s="319"/>
      <c r="R479" s="322"/>
      <c r="S479" s="15"/>
      <c r="T479" s="15"/>
      <c r="U479" s="15"/>
      <c r="V479" s="15"/>
    </row>
    <row r="480" spans="1:22">
      <c r="A480" s="253"/>
      <c r="B480" s="234"/>
      <c r="C480" s="249"/>
      <c r="D480" s="250"/>
      <c r="E480" s="250"/>
      <c r="F480" s="250"/>
      <c r="G480" s="250"/>
      <c r="H480" s="250"/>
      <c r="I480" s="250"/>
      <c r="J480" s="251"/>
      <c r="K480" s="249"/>
      <c r="L480" s="250"/>
      <c r="M480" s="250"/>
      <c r="N480" s="250"/>
      <c r="O480" s="249"/>
      <c r="P480" s="249"/>
      <c r="Q480" s="250"/>
      <c r="R480" s="252"/>
      <c r="S480" s="15"/>
      <c r="T480" s="15"/>
      <c r="U480" s="15"/>
      <c r="V480" s="15"/>
    </row>
    <row r="481" spans="1:22">
      <c r="A481" s="253"/>
      <c r="B481" s="254"/>
      <c r="C481" s="255"/>
      <c r="D481" s="256"/>
      <c r="E481" s="256"/>
      <c r="F481" s="256"/>
      <c r="G481" s="256"/>
      <c r="H481" s="256"/>
      <c r="I481" s="256"/>
      <c r="J481" s="257"/>
      <c r="K481" s="255"/>
      <c r="L481" s="256"/>
      <c r="M481" s="256"/>
      <c r="N481" s="256"/>
      <c r="O481" s="255"/>
      <c r="P481" s="255"/>
      <c r="Q481" s="256"/>
      <c r="R481" s="258"/>
      <c r="S481" s="15"/>
      <c r="T481" s="15"/>
      <c r="U481" s="15"/>
      <c r="V481" s="15"/>
    </row>
    <row r="482" spans="1:22">
      <c r="A482" s="253"/>
      <c r="B482" s="317"/>
      <c r="C482" s="318"/>
      <c r="D482" s="319"/>
      <c r="E482" s="319"/>
      <c r="F482" s="331"/>
      <c r="G482" s="331"/>
      <c r="H482" s="319"/>
      <c r="I482" s="319"/>
      <c r="J482" s="320"/>
      <c r="K482" s="318"/>
      <c r="L482" s="319"/>
      <c r="M482" s="319"/>
      <c r="N482" s="319"/>
      <c r="O482" s="318"/>
      <c r="P482" s="321"/>
      <c r="Q482" s="319"/>
      <c r="R482" s="322"/>
      <c r="S482" s="15"/>
      <c r="T482" s="15"/>
      <c r="U482" s="15"/>
      <c r="V482" s="15"/>
    </row>
    <row r="483" spans="1:22">
      <c r="A483" s="253"/>
      <c r="B483" s="234"/>
      <c r="C483" s="249"/>
      <c r="D483" s="250"/>
      <c r="E483" s="250"/>
      <c r="F483" s="250"/>
      <c r="G483" s="250"/>
      <c r="H483" s="250"/>
      <c r="I483" s="250"/>
      <c r="J483" s="251"/>
      <c r="K483" s="249"/>
      <c r="L483" s="250"/>
      <c r="M483" s="250"/>
      <c r="N483" s="250"/>
      <c r="O483" s="249"/>
      <c r="P483" s="249"/>
      <c r="Q483" s="250"/>
      <c r="R483" s="252"/>
      <c r="S483" s="15"/>
      <c r="T483" s="15"/>
      <c r="U483" s="15"/>
      <c r="V483" s="15"/>
    </row>
    <row r="484" spans="1:22">
      <c r="A484" s="253"/>
      <c r="B484" s="254"/>
      <c r="C484" s="255"/>
      <c r="D484" s="256"/>
      <c r="E484" s="256"/>
      <c r="F484" s="256"/>
      <c r="G484" s="256"/>
      <c r="H484" s="256"/>
      <c r="I484" s="256"/>
      <c r="J484" s="257"/>
      <c r="K484" s="255"/>
      <c r="L484" s="256"/>
      <c r="M484" s="256"/>
      <c r="N484" s="256"/>
      <c r="O484" s="255"/>
      <c r="P484" s="255"/>
      <c r="Q484" s="256"/>
      <c r="R484" s="258"/>
      <c r="S484" s="15"/>
      <c r="T484" s="15"/>
      <c r="U484" s="15"/>
      <c r="V484" s="15"/>
    </row>
    <row r="485" spans="1:22">
      <c r="A485" s="253"/>
      <c r="B485" s="317"/>
      <c r="C485" s="318"/>
      <c r="D485" s="319"/>
      <c r="E485" s="319"/>
      <c r="F485" s="319"/>
      <c r="G485" s="319"/>
      <c r="H485" s="319"/>
      <c r="I485" s="319"/>
      <c r="J485" s="320"/>
      <c r="K485" s="318"/>
      <c r="L485" s="319"/>
      <c r="M485" s="319"/>
      <c r="N485" s="319"/>
      <c r="O485" s="318"/>
      <c r="P485" s="321"/>
      <c r="Q485" s="319"/>
      <c r="R485" s="322"/>
      <c r="S485" s="15"/>
      <c r="T485" s="15"/>
      <c r="U485" s="15"/>
      <c r="V485" s="15"/>
    </row>
    <row r="486" spans="1:22">
      <c r="A486" s="253"/>
      <c r="B486" s="234"/>
      <c r="C486" s="249"/>
      <c r="D486" s="250"/>
      <c r="E486" s="250"/>
      <c r="F486" s="250"/>
      <c r="G486" s="250"/>
      <c r="H486" s="250"/>
      <c r="I486" s="250"/>
      <c r="J486" s="251"/>
      <c r="K486" s="249"/>
      <c r="L486" s="250"/>
      <c r="M486" s="250"/>
      <c r="N486" s="250"/>
      <c r="O486" s="249"/>
      <c r="P486" s="249"/>
      <c r="Q486" s="250"/>
      <c r="R486" s="252"/>
      <c r="S486" s="15"/>
      <c r="T486" s="15"/>
      <c r="U486" s="15"/>
      <c r="V486" s="15"/>
    </row>
    <row r="487" spans="1:22">
      <c r="A487" s="253"/>
      <c r="B487" s="254"/>
      <c r="C487" s="255"/>
      <c r="D487" s="256"/>
      <c r="E487" s="256"/>
      <c r="F487" s="256"/>
      <c r="G487" s="256"/>
      <c r="H487" s="256"/>
      <c r="I487" s="256"/>
      <c r="J487" s="257"/>
      <c r="K487" s="255"/>
      <c r="L487" s="256"/>
      <c r="M487" s="256"/>
      <c r="N487" s="256"/>
      <c r="O487" s="255"/>
      <c r="P487" s="255"/>
      <c r="Q487" s="256"/>
      <c r="R487" s="258"/>
      <c r="S487" s="15"/>
      <c r="T487" s="15"/>
      <c r="U487" s="15"/>
      <c r="V487" s="15"/>
    </row>
    <row r="488" spans="1:22">
      <c r="A488" s="253"/>
      <c r="B488" s="317"/>
      <c r="C488" s="318"/>
      <c r="D488" s="319"/>
      <c r="E488" s="319"/>
      <c r="F488" s="319"/>
      <c r="G488" s="319"/>
      <c r="H488" s="319"/>
      <c r="I488" s="319"/>
      <c r="J488" s="320"/>
      <c r="K488" s="318"/>
      <c r="L488" s="319"/>
      <c r="M488" s="319"/>
      <c r="N488" s="319"/>
      <c r="O488" s="318"/>
      <c r="P488" s="321"/>
      <c r="Q488" s="319"/>
      <c r="R488" s="322"/>
      <c r="S488" s="15"/>
      <c r="T488" s="15"/>
      <c r="U488" s="15"/>
      <c r="V488" s="15"/>
    </row>
    <row r="489" spans="1:22">
      <c r="A489" s="253"/>
      <c r="B489" s="234"/>
      <c r="C489" s="249"/>
      <c r="D489" s="250"/>
      <c r="E489" s="250"/>
      <c r="F489" s="250"/>
      <c r="G489" s="250"/>
      <c r="H489" s="250"/>
      <c r="I489" s="250"/>
      <c r="J489" s="251"/>
      <c r="K489" s="249"/>
      <c r="L489" s="250"/>
      <c r="M489" s="250"/>
      <c r="N489" s="250"/>
      <c r="O489" s="249"/>
      <c r="P489" s="249"/>
      <c r="Q489" s="250"/>
      <c r="R489" s="252"/>
      <c r="S489" s="15"/>
      <c r="T489" s="15"/>
      <c r="U489" s="15"/>
      <c r="V489" s="15"/>
    </row>
    <row r="490" spans="1:22">
      <c r="A490" s="253"/>
      <c r="B490" s="254"/>
      <c r="C490" s="255"/>
      <c r="D490" s="256"/>
      <c r="E490" s="256"/>
      <c r="F490" s="256"/>
      <c r="G490" s="256"/>
      <c r="H490" s="256"/>
      <c r="I490" s="256"/>
      <c r="J490" s="257"/>
      <c r="K490" s="255"/>
      <c r="L490" s="256"/>
      <c r="M490" s="256"/>
      <c r="N490" s="256"/>
      <c r="O490" s="255"/>
      <c r="P490" s="255"/>
      <c r="Q490" s="256"/>
      <c r="R490" s="258"/>
      <c r="S490" s="15"/>
      <c r="T490" s="15"/>
      <c r="U490" s="15"/>
      <c r="V490" s="15"/>
    </row>
    <row r="491" spans="1:22">
      <c r="A491" s="253"/>
      <c r="B491" s="317"/>
      <c r="C491" s="318"/>
      <c r="D491" s="319"/>
      <c r="E491" s="319"/>
      <c r="F491" s="319"/>
      <c r="G491" s="319"/>
      <c r="H491" s="319"/>
      <c r="I491" s="319"/>
      <c r="J491" s="320"/>
      <c r="K491" s="318"/>
      <c r="L491" s="319"/>
      <c r="M491" s="319"/>
      <c r="N491" s="319"/>
      <c r="O491" s="318"/>
      <c r="P491" s="321"/>
      <c r="Q491" s="319"/>
      <c r="R491" s="322"/>
      <c r="S491" s="15"/>
      <c r="T491" s="15"/>
      <c r="U491" s="15"/>
      <c r="V491" s="15"/>
    </row>
    <row r="492" spans="1:22">
      <c r="A492" s="253"/>
      <c r="B492" s="234"/>
      <c r="C492" s="249"/>
      <c r="D492" s="250"/>
      <c r="E492" s="250"/>
      <c r="F492" s="250"/>
      <c r="G492" s="250"/>
      <c r="H492" s="250"/>
      <c r="I492" s="250"/>
      <c r="J492" s="251"/>
      <c r="K492" s="249"/>
      <c r="L492" s="250"/>
      <c r="M492" s="250"/>
      <c r="N492" s="250"/>
      <c r="O492" s="249"/>
      <c r="P492" s="249"/>
      <c r="Q492" s="250"/>
      <c r="R492" s="252"/>
      <c r="S492" s="15"/>
      <c r="T492" s="15"/>
      <c r="U492" s="15"/>
      <c r="V492" s="15"/>
    </row>
    <row r="493" spans="1:22">
      <c r="A493" s="253"/>
      <c r="B493" s="254"/>
      <c r="C493" s="255"/>
      <c r="D493" s="256"/>
      <c r="E493" s="256"/>
      <c r="F493" s="256"/>
      <c r="G493" s="256"/>
      <c r="H493" s="256"/>
      <c r="I493" s="256"/>
      <c r="J493" s="257"/>
      <c r="K493" s="255"/>
      <c r="L493" s="256"/>
      <c r="M493" s="256"/>
      <c r="N493" s="256"/>
      <c r="O493" s="255"/>
      <c r="P493" s="255"/>
      <c r="Q493" s="256"/>
      <c r="R493" s="258"/>
      <c r="S493" s="15"/>
      <c r="T493" s="15"/>
      <c r="U493" s="15"/>
      <c r="V493" s="15"/>
    </row>
    <row r="494" spans="1:22">
      <c r="A494" s="253"/>
      <c r="B494" s="317"/>
      <c r="C494" s="318"/>
      <c r="D494" s="319"/>
      <c r="E494" s="319"/>
      <c r="F494" s="319"/>
      <c r="G494" s="331"/>
      <c r="H494" s="319"/>
      <c r="I494" s="319"/>
      <c r="J494" s="320"/>
      <c r="K494" s="318"/>
      <c r="L494" s="319"/>
      <c r="M494" s="319"/>
      <c r="N494" s="319"/>
      <c r="O494" s="318"/>
      <c r="P494" s="321"/>
      <c r="Q494" s="319"/>
      <c r="R494" s="322"/>
      <c r="S494" s="15"/>
      <c r="T494" s="15"/>
      <c r="U494" s="15"/>
      <c r="V494" s="15"/>
    </row>
    <row r="495" spans="1:22">
      <c r="A495" s="253"/>
      <c r="B495" s="234"/>
      <c r="C495" s="249"/>
      <c r="D495" s="250"/>
      <c r="E495" s="250"/>
      <c r="F495" s="250"/>
      <c r="G495" s="250"/>
      <c r="H495" s="250"/>
      <c r="I495" s="250"/>
      <c r="J495" s="251"/>
      <c r="K495" s="249"/>
      <c r="L495" s="250"/>
      <c r="M495" s="250"/>
      <c r="N495" s="250"/>
      <c r="O495" s="249"/>
      <c r="P495" s="249"/>
      <c r="Q495" s="250"/>
      <c r="R495" s="252"/>
      <c r="S495" s="15"/>
      <c r="T495" s="15"/>
      <c r="U495" s="15"/>
      <c r="V495" s="15"/>
    </row>
    <row r="496" spans="1:22">
      <c r="A496" s="253"/>
      <c r="B496" s="254"/>
      <c r="C496" s="255"/>
      <c r="D496" s="256"/>
      <c r="E496" s="256"/>
      <c r="F496" s="256"/>
      <c r="G496" s="256"/>
      <c r="H496" s="256"/>
      <c r="I496" s="256"/>
      <c r="J496" s="257"/>
      <c r="K496" s="255"/>
      <c r="L496" s="256"/>
      <c r="M496" s="256"/>
      <c r="N496" s="256"/>
      <c r="O496" s="255"/>
      <c r="P496" s="255"/>
      <c r="Q496" s="256"/>
      <c r="R496" s="258"/>
      <c r="S496" s="15"/>
      <c r="T496" s="15"/>
      <c r="U496" s="15"/>
      <c r="V496" s="15"/>
    </row>
    <row r="497" spans="1:22">
      <c r="A497" s="253"/>
      <c r="B497" s="317"/>
      <c r="C497" s="318"/>
      <c r="D497" s="319"/>
      <c r="E497" s="319"/>
      <c r="F497" s="331"/>
      <c r="G497" s="319"/>
      <c r="H497" s="319"/>
      <c r="I497" s="319"/>
      <c r="J497" s="320"/>
      <c r="K497" s="318"/>
      <c r="L497" s="319"/>
      <c r="M497" s="319"/>
      <c r="N497" s="319"/>
      <c r="O497" s="318"/>
      <c r="P497" s="321"/>
      <c r="Q497" s="319"/>
      <c r="R497" s="322"/>
      <c r="S497" s="15"/>
      <c r="T497" s="15"/>
      <c r="U497" s="15"/>
      <c r="V497" s="15"/>
    </row>
    <row r="498" spans="1:22">
      <c r="A498" s="253"/>
      <c r="B498" s="234"/>
      <c r="C498" s="249"/>
      <c r="D498" s="250"/>
      <c r="E498" s="250"/>
      <c r="F498" s="250"/>
      <c r="G498" s="250"/>
      <c r="H498" s="250"/>
      <c r="I498" s="250"/>
      <c r="J498" s="251"/>
      <c r="K498" s="249"/>
      <c r="L498" s="250"/>
      <c r="M498" s="250"/>
      <c r="N498" s="250"/>
      <c r="O498" s="249"/>
      <c r="P498" s="249"/>
      <c r="Q498" s="250"/>
      <c r="R498" s="252"/>
      <c r="S498" s="15"/>
      <c r="T498" s="15"/>
      <c r="U498" s="15"/>
      <c r="V498" s="15"/>
    </row>
    <row r="499" spans="1:22">
      <c r="A499" s="253"/>
      <c r="B499" s="254"/>
      <c r="C499" s="255"/>
      <c r="D499" s="256"/>
      <c r="E499" s="256"/>
      <c r="F499" s="256"/>
      <c r="G499" s="256"/>
      <c r="H499" s="256"/>
      <c r="I499" s="256"/>
      <c r="J499" s="257"/>
      <c r="K499" s="255"/>
      <c r="L499" s="256"/>
      <c r="M499" s="256"/>
      <c r="N499" s="256"/>
      <c r="O499" s="255"/>
      <c r="P499" s="255"/>
      <c r="Q499" s="256"/>
      <c r="R499" s="258"/>
      <c r="S499" s="15"/>
      <c r="T499" s="15"/>
      <c r="U499" s="15"/>
      <c r="V499" s="15"/>
    </row>
    <row r="500" spans="1:22">
      <c r="A500" s="253"/>
      <c r="B500" s="317"/>
      <c r="C500" s="318"/>
      <c r="D500" s="319"/>
      <c r="E500" s="331"/>
      <c r="F500" s="319"/>
      <c r="G500" s="331"/>
      <c r="H500" s="319"/>
      <c r="I500" s="319"/>
      <c r="J500" s="320"/>
      <c r="K500" s="318"/>
      <c r="L500" s="319"/>
      <c r="M500" s="319"/>
      <c r="N500" s="319"/>
      <c r="O500" s="318"/>
      <c r="P500" s="321"/>
      <c r="Q500" s="319"/>
      <c r="R500" s="322"/>
      <c r="S500" s="15"/>
      <c r="T500" s="15"/>
      <c r="U500" s="15"/>
      <c r="V500" s="15"/>
    </row>
    <row r="501" spans="1:22">
      <c r="A501" s="253"/>
      <c r="B501" s="234"/>
      <c r="C501" s="249"/>
      <c r="D501" s="250"/>
      <c r="E501" s="250"/>
      <c r="F501" s="250"/>
      <c r="G501" s="250"/>
      <c r="H501" s="250"/>
      <c r="I501" s="250"/>
      <c r="J501" s="251"/>
      <c r="K501" s="249"/>
      <c r="L501" s="250"/>
      <c r="M501" s="250"/>
      <c r="N501" s="250"/>
      <c r="O501" s="249"/>
      <c r="P501" s="249"/>
      <c r="Q501" s="250"/>
      <c r="R501" s="252"/>
      <c r="S501" s="15"/>
      <c r="T501" s="15"/>
      <c r="U501" s="15"/>
      <c r="V501" s="15"/>
    </row>
    <row r="502" spans="1:22">
      <c r="A502" s="253"/>
      <c r="B502" s="254"/>
      <c r="C502" s="255"/>
      <c r="D502" s="256"/>
      <c r="E502" s="256"/>
      <c r="F502" s="256"/>
      <c r="G502" s="256"/>
      <c r="H502" s="256"/>
      <c r="I502" s="256"/>
      <c r="J502" s="257"/>
      <c r="K502" s="255"/>
      <c r="L502" s="256"/>
      <c r="M502" s="256"/>
      <c r="N502" s="256"/>
      <c r="O502" s="255"/>
      <c r="P502" s="255"/>
      <c r="Q502" s="256"/>
      <c r="R502" s="258"/>
      <c r="S502" s="15"/>
      <c r="T502" s="15"/>
      <c r="U502" s="15"/>
      <c r="V502" s="15"/>
    </row>
    <row r="503" spans="1:22">
      <c r="A503" s="253"/>
      <c r="B503" s="317"/>
      <c r="C503" s="318"/>
      <c r="D503" s="319"/>
      <c r="E503" s="319"/>
      <c r="F503" s="319"/>
      <c r="G503" s="319"/>
      <c r="H503" s="319"/>
      <c r="I503" s="319"/>
      <c r="J503" s="320"/>
      <c r="K503" s="318"/>
      <c r="L503" s="319"/>
      <c r="M503" s="319"/>
      <c r="N503" s="319"/>
      <c r="O503" s="318"/>
      <c r="P503" s="321"/>
      <c r="Q503" s="319"/>
      <c r="R503" s="322"/>
      <c r="S503" s="15"/>
      <c r="T503" s="15"/>
      <c r="U503" s="15"/>
      <c r="V503" s="15"/>
    </row>
    <row r="504" spans="1:22">
      <c r="A504" s="253"/>
      <c r="B504" s="234"/>
      <c r="C504" s="249"/>
      <c r="D504" s="250"/>
      <c r="E504" s="250"/>
      <c r="F504" s="250"/>
      <c r="G504" s="250"/>
      <c r="H504" s="250"/>
      <c r="I504" s="250"/>
      <c r="J504" s="251"/>
      <c r="K504" s="249"/>
      <c r="L504" s="250"/>
      <c r="M504" s="250"/>
      <c r="N504" s="250"/>
      <c r="O504" s="249"/>
      <c r="P504" s="249"/>
      <c r="Q504" s="250"/>
      <c r="R504" s="252"/>
      <c r="S504" s="15"/>
      <c r="T504" s="15"/>
      <c r="U504" s="15"/>
      <c r="V504" s="15"/>
    </row>
    <row r="505" spans="1:22">
      <c r="A505" s="253"/>
      <c r="B505" s="254"/>
      <c r="C505" s="255"/>
      <c r="D505" s="256"/>
      <c r="E505" s="256"/>
      <c r="F505" s="256"/>
      <c r="G505" s="256"/>
      <c r="H505" s="256"/>
      <c r="I505" s="256"/>
      <c r="J505" s="257"/>
      <c r="K505" s="255"/>
      <c r="L505" s="256"/>
      <c r="M505" s="256"/>
      <c r="N505" s="256"/>
      <c r="O505" s="255"/>
      <c r="P505" s="255"/>
      <c r="Q505" s="256"/>
      <c r="R505" s="258"/>
      <c r="S505" s="15"/>
      <c r="T505" s="15"/>
      <c r="U505" s="15"/>
      <c r="V505" s="15"/>
    </row>
    <row r="506" spans="1:22">
      <c r="A506" s="253"/>
      <c r="B506" s="317"/>
      <c r="C506" s="318"/>
      <c r="D506" s="319"/>
      <c r="E506" s="331"/>
      <c r="F506" s="319"/>
      <c r="G506" s="319"/>
      <c r="H506" s="319"/>
      <c r="I506" s="319"/>
      <c r="J506" s="320"/>
      <c r="K506" s="318"/>
      <c r="L506" s="319"/>
      <c r="M506" s="319"/>
      <c r="N506" s="319"/>
      <c r="O506" s="318"/>
      <c r="P506" s="321"/>
      <c r="Q506" s="319"/>
      <c r="R506" s="322"/>
      <c r="S506" s="15"/>
      <c r="T506" s="15"/>
      <c r="U506" s="15"/>
      <c r="V506" s="15"/>
    </row>
    <row r="507" spans="1:22">
      <c r="A507" s="253"/>
      <c r="B507" s="234"/>
      <c r="C507" s="249"/>
      <c r="D507" s="250"/>
      <c r="E507" s="250"/>
      <c r="F507" s="250"/>
      <c r="G507" s="250"/>
      <c r="H507" s="250"/>
      <c r="I507" s="250"/>
      <c r="J507" s="251"/>
      <c r="K507" s="249"/>
      <c r="L507" s="250"/>
      <c r="M507" s="250"/>
      <c r="N507" s="250"/>
      <c r="O507" s="249"/>
      <c r="P507" s="249"/>
      <c r="Q507" s="250"/>
      <c r="R507" s="252"/>
      <c r="S507" s="15"/>
      <c r="T507" s="15"/>
      <c r="U507" s="15"/>
      <c r="V507" s="15"/>
    </row>
    <row r="508" spans="1:22">
      <c r="A508" s="253"/>
      <c r="B508" s="254"/>
      <c r="C508" s="255"/>
      <c r="D508" s="256"/>
      <c r="E508" s="256"/>
      <c r="F508" s="256"/>
      <c r="G508" s="256"/>
      <c r="H508" s="256"/>
      <c r="I508" s="256"/>
      <c r="J508" s="257"/>
      <c r="K508" s="255"/>
      <c r="L508" s="256"/>
      <c r="M508" s="256"/>
      <c r="N508" s="256"/>
      <c r="O508" s="255"/>
      <c r="P508" s="255"/>
      <c r="Q508" s="256"/>
      <c r="R508" s="258"/>
      <c r="S508" s="15"/>
      <c r="T508" s="15"/>
      <c r="U508" s="15"/>
      <c r="V508" s="15"/>
    </row>
    <row r="509" spans="1:22">
      <c r="A509" s="260"/>
      <c r="B509" s="317"/>
      <c r="C509" s="318"/>
      <c r="D509" s="319"/>
      <c r="E509" s="319"/>
      <c r="F509" s="319"/>
      <c r="G509" s="319"/>
      <c r="H509" s="319"/>
      <c r="I509" s="319"/>
      <c r="J509" s="320"/>
      <c r="K509" s="318"/>
      <c r="L509" s="319"/>
      <c r="M509" s="319"/>
      <c r="N509" s="319"/>
      <c r="O509" s="318"/>
      <c r="P509" s="321"/>
      <c r="Q509" s="319"/>
      <c r="R509" s="322"/>
      <c r="S509" s="15"/>
      <c r="T509" s="15"/>
      <c r="U509" s="15"/>
      <c r="V509" s="15"/>
    </row>
    <row r="510" spans="1:22">
      <c r="A510" s="248"/>
      <c r="B510" s="234"/>
      <c r="C510" s="249"/>
      <c r="D510" s="250"/>
      <c r="E510" s="250"/>
      <c r="F510" s="250"/>
      <c r="G510" s="250"/>
      <c r="H510" s="250"/>
      <c r="I510" s="250"/>
      <c r="J510" s="251"/>
      <c r="K510" s="249"/>
      <c r="L510" s="250"/>
      <c r="M510" s="250"/>
      <c r="N510" s="250"/>
      <c r="O510" s="249"/>
      <c r="P510" s="249"/>
      <c r="Q510" s="250"/>
      <c r="R510" s="252"/>
      <c r="S510" s="15"/>
      <c r="T510" s="15"/>
      <c r="U510" s="15"/>
      <c r="V510" s="15"/>
    </row>
    <row r="511" spans="1:22">
      <c r="A511" s="253"/>
      <c r="B511" s="254"/>
      <c r="C511" s="255"/>
      <c r="D511" s="256"/>
      <c r="E511" s="256"/>
      <c r="F511" s="256"/>
      <c r="G511" s="256"/>
      <c r="H511" s="256"/>
      <c r="I511" s="256"/>
      <c r="J511" s="257"/>
      <c r="K511" s="255"/>
      <c r="L511" s="256"/>
      <c r="M511" s="256"/>
      <c r="N511" s="256"/>
      <c r="O511" s="255"/>
      <c r="P511" s="255"/>
      <c r="Q511" s="256"/>
      <c r="R511" s="258"/>
      <c r="S511" s="15"/>
      <c r="T511" s="15"/>
      <c r="U511" s="15"/>
      <c r="V511" s="15"/>
    </row>
    <row r="512" spans="1:22">
      <c r="A512" s="253"/>
      <c r="B512" s="317"/>
      <c r="C512" s="318"/>
      <c r="D512" s="319"/>
      <c r="E512" s="319"/>
      <c r="F512" s="319"/>
      <c r="G512" s="319"/>
      <c r="H512" s="319"/>
      <c r="I512" s="319"/>
      <c r="J512" s="320"/>
      <c r="K512" s="318"/>
      <c r="L512" s="319"/>
      <c r="M512" s="319"/>
      <c r="N512" s="331"/>
      <c r="O512" s="318"/>
      <c r="P512" s="321"/>
      <c r="Q512" s="319"/>
      <c r="R512" s="322"/>
      <c r="S512" s="15"/>
      <c r="T512" s="15"/>
      <c r="U512" s="15"/>
      <c r="V512" s="15"/>
    </row>
    <row r="513" spans="1:22">
      <c r="A513" s="253"/>
      <c r="B513" s="234"/>
      <c r="C513" s="249"/>
      <c r="D513" s="250"/>
      <c r="E513" s="250"/>
      <c r="F513" s="250"/>
      <c r="G513" s="250"/>
      <c r="H513" s="250"/>
      <c r="I513" s="250"/>
      <c r="J513" s="251"/>
      <c r="K513" s="249"/>
      <c r="L513" s="250"/>
      <c r="M513" s="250"/>
      <c r="N513" s="250"/>
      <c r="O513" s="249"/>
      <c r="P513" s="249"/>
      <c r="Q513" s="250"/>
      <c r="R513" s="252"/>
      <c r="S513" s="15"/>
      <c r="T513" s="15"/>
      <c r="U513" s="15"/>
      <c r="V513" s="15"/>
    </row>
    <row r="514" spans="1:22">
      <c r="A514" s="253"/>
      <c r="B514" s="254"/>
      <c r="C514" s="255"/>
      <c r="D514" s="256"/>
      <c r="E514" s="256"/>
      <c r="F514" s="256"/>
      <c r="G514" s="256"/>
      <c r="H514" s="256"/>
      <c r="I514" s="256"/>
      <c r="J514" s="257"/>
      <c r="K514" s="255"/>
      <c r="L514" s="256"/>
      <c r="M514" s="256"/>
      <c r="N514" s="256"/>
      <c r="O514" s="255"/>
      <c r="P514" s="255"/>
      <c r="Q514" s="256"/>
      <c r="R514" s="258"/>
      <c r="S514" s="15"/>
      <c r="T514" s="15"/>
      <c r="U514" s="15"/>
      <c r="V514" s="15"/>
    </row>
    <row r="515" spans="1:22">
      <c r="A515" s="253"/>
      <c r="B515" s="317"/>
      <c r="C515" s="318"/>
      <c r="D515" s="319"/>
      <c r="E515" s="319"/>
      <c r="F515" s="319"/>
      <c r="G515" s="319"/>
      <c r="H515" s="319"/>
      <c r="I515" s="319"/>
      <c r="J515" s="320"/>
      <c r="K515" s="318"/>
      <c r="L515" s="319"/>
      <c r="M515" s="319"/>
      <c r="N515" s="319"/>
      <c r="O515" s="318"/>
      <c r="P515" s="321"/>
      <c r="Q515" s="319"/>
      <c r="R515" s="322"/>
      <c r="S515" s="15"/>
      <c r="T515" s="15"/>
      <c r="U515" s="15"/>
      <c r="V515" s="15"/>
    </row>
    <row r="516" spans="1:22">
      <c r="A516" s="253"/>
      <c r="B516" s="234"/>
      <c r="C516" s="249"/>
      <c r="D516" s="250"/>
      <c r="E516" s="250"/>
      <c r="F516" s="250"/>
      <c r="G516" s="250"/>
      <c r="H516" s="250"/>
      <c r="I516" s="250"/>
      <c r="J516" s="251"/>
      <c r="K516" s="249"/>
      <c r="L516" s="250"/>
      <c r="M516" s="250"/>
      <c r="N516" s="250"/>
      <c r="O516" s="249"/>
      <c r="P516" s="249"/>
      <c r="Q516" s="250"/>
      <c r="R516" s="252"/>
      <c r="S516" s="15"/>
      <c r="T516" s="15"/>
      <c r="U516" s="15"/>
      <c r="V516" s="15"/>
    </row>
    <row r="517" spans="1:22">
      <c r="A517" s="253"/>
      <c r="B517" s="254"/>
      <c r="C517" s="255"/>
      <c r="D517" s="256"/>
      <c r="E517" s="256"/>
      <c r="F517" s="256"/>
      <c r="G517" s="256"/>
      <c r="H517" s="256"/>
      <c r="I517" s="256"/>
      <c r="J517" s="257"/>
      <c r="K517" s="255"/>
      <c r="L517" s="256"/>
      <c r="M517" s="256"/>
      <c r="N517" s="256"/>
      <c r="O517" s="255"/>
      <c r="P517" s="255"/>
      <c r="Q517" s="256"/>
      <c r="R517" s="258"/>
      <c r="S517" s="15"/>
      <c r="T517" s="15"/>
      <c r="U517" s="15"/>
      <c r="V517" s="15"/>
    </row>
    <row r="518" spans="1:22">
      <c r="A518" s="253"/>
      <c r="B518" s="317"/>
      <c r="C518" s="318"/>
      <c r="D518" s="319"/>
      <c r="E518" s="319"/>
      <c r="F518" s="319"/>
      <c r="G518" s="319"/>
      <c r="H518" s="319"/>
      <c r="I518" s="319"/>
      <c r="J518" s="320"/>
      <c r="K518" s="318"/>
      <c r="L518" s="319"/>
      <c r="M518" s="319"/>
      <c r="N518" s="331"/>
      <c r="O518" s="318"/>
      <c r="P518" s="321"/>
      <c r="Q518" s="319"/>
      <c r="R518" s="322"/>
      <c r="S518" s="15"/>
      <c r="T518" s="15"/>
      <c r="U518" s="15"/>
      <c r="V518" s="15"/>
    </row>
    <row r="519" spans="1:22">
      <c r="A519" s="253"/>
      <c r="B519" s="234"/>
      <c r="C519" s="249"/>
      <c r="D519" s="250"/>
      <c r="E519" s="250"/>
      <c r="F519" s="250"/>
      <c r="G519" s="250"/>
      <c r="H519" s="250"/>
      <c r="I519" s="250"/>
      <c r="J519" s="251"/>
      <c r="K519" s="249"/>
      <c r="L519" s="250"/>
      <c r="M519" s="250"/>
      <c r="N519" s="250"/>
      <c r="O519" s="249"/>
      <c r="P519" s="249"/>
      <c r="Q519" s="250"/>
      <c r="R519" s="252"/>
      <c r="S519" s="15"/>
      <c r="T519" s="15"/>
      <c r="U519" s="15"/>
      <c r="V519" s="15"/>
    </row>
    <row r="520" spans="1:22">
      <c r="A520" s="253"/>
      <c r="B520" s="254"/>
      <c r="C520" s="255"/>
      <c r="D520" s="256"/>
      <c r="E520" s="256"/>
      <c r="F520" s="256"/>
      <c r="G520" s="256"/>
      <c r="H520" s="256"/>
      <c r="I520" s="256"/>
      <c r="J520" s="257"/>
      <c r="K520" s="255"/>
      <c r="L520" s="256"/>
      <c r="M520" s="256"/>
      <c r="N520" s="256"/>
      <c r="O520" s="255"/>
      <c r="P520" s="255"/>
      <c r="Q520" s="256"/>
      <c r="R520" s="258"/>
      <c r="S520" s="15"/>
      <c r="T520" s="15"/>
      <c r="U520" s="15"/>
      <c r="V520" s="15"/>
    </row>
    <row r="521" spans="1:22">
      <c r="A521" s="253"/>
      <c r="B521" s="317"/>
      <c r="C521" s="318"/>
      <c r="D521" s="319"/>
      <c r="E521" s="319"/>
      <c r="F521" s="319"/>
      <c r="G521" s="319"/>
      <c r="H521" s="319"/>
      <c r="I521" s="319"/>
      <c r="J521" s="320"/>
      <c r="K521" s="318"/>
      <c r="L521" s="319"/>
      <c r="M521" s="319"/>
      <c r="N521" s="319"/>
      <c r="O521" s="318"/>
      <c r="P521" s="321"/>
      <c r="Q521" s="319"/>
      <c r="R521" s="322"/>
      <c r="S521" s="15"/>
      <c r="T521" s="15"/>
      <c r="U521" s="15"/>
      <c r="V521" s="15"/>
    </row>
    <row r="522" spans="1:22">
      <c r="A522" s="253"/>
      <c r="B522" s="234"/>
      <c r="C522" s="249"/>
      <c r="D522" s="250"/>
      <c r="E522" s="250"/>
      <c r="F522" s="250"/>
      <c r="G522" s="250"/>
      <c r="H522" s="250"/>
      <c r="I522" s="250"/>
      <c r="J522" s="251"/>
      <c r="K522" s="249"/>
      <c r="L522" s="250"/>
      <c r="M522" s="250"/>
      <c r="N522" s="250"/>
      <c r="O522" s="249"/>
      <c r="P522" s="249"/>
      <c r="Q522" s="250"/>
      <c r="R522" s="252"/>
      <c r="S522" s="15"/>
      <c r="T522" s="15"/>
      <c r="U522" s="15"/>
      <c r="V522" s="15"/>
    </row>
    <row r="523" spans="1:22">
      <c r="A523" s="253"/>
      <c r="B523" s="254"/>
      <c r="C523" s="255"/>
      <c r="D523" s="256"/>
      <c r="E523" s="256"/>
      <c r="F523" s="256"/>
      <c r="G523" s="256"/>
      <c r="H523" s="256"/>
      <c r="I523" s="256"/>
      <c r="J523" s="257"/>
      <c r="K523" s="255"/>
      <c r="L523" s="256"/>
      <c r="M523" s="256"/>
      <c r="N523" s="256"/>
      <c r="O523" s="255"/>
      <c r="P523" s="255"/>
      <c r="Q523" s="256"/>
      <c r="R523" s="258"/>
      <c r="S523" s="15"/>
      <c r="T523" s="15"/>
      <c r="U523" s="15"/>
      <c r="V523" s="15"/>
    </row>
    <row r="524" spans="1:22">
      <c r="A524" s="253"/>
      <c r="B524" s="317"/>
      <c r="C524" s="318"/>
      <c r="D524" s="319"/>
      <c r="E524" s="319"/>
      <c r="F524" s="319"/>
      <c r="G524" s="319"/>
      <c r="H524" s="319"/>
      <c r="I524" s="319"/>
      <c r="J524" s="320"/>
      <c r="K524" s="318"/>
      <c r="L524" s="319"/>
      <c r="M524" s="319"/>
      <c r="N524" s="319"/>
      <c r="O524" s="318"/>
      <c r="P524" s="321"/>
      <c r="Q524" s="319"/>
      <c r="R524" s="322"/>
      <c r="S524" s="15"/>
      <c r="T524" s="15"/>
      <c r="U524" s="15"/>
      <c r="V524" s="15"/>
    </row>
    <row r="525" spans="1:22">
      <c r="A525" s="253"/>
      <c r="B525" s="234"/>
      <c r="C525" s="249"/>
      <c r="D525" s="250"/>
      <c r="E525" s="250"/>
      <c r="F525" s="250"/>
      <c r="G525" s="250"/>
      <c r="H525" s="250"/>
      <c r="I525" s="250"/>
      <c r="J525" s="251"/>
      <c r="K525" s="249"/>
      <c r="L525" s="250"/>
      <c r="M525" s="250"/>
      <c r="N525" s="250"/>
      <c r="O525" s="249"/>
      <c r="P525" s="249"/>
      <c r="Q525" s="250"/>
      <c r="R525" s="252"/>
      <c r="S525" s="15"/>
      <c r="T525" s="15"/>
      <c r="U525" s="15"/>
      <c r="V525" s="15"/>
    </row>
    <row r="526" spans="1:22">
      <c r="A526" s="253"/>
      <c r="B526" s="254"/>
      <c r="C526" s="255"/>
      <c r="D526" s="256"/>
      <c r="E526" s="256"/>
      <c r="F526" s="256"/>
      <c r="G526" s="256"/>
      <c r="H526" s="256"/>
      <c r="I526" s="256"/>
      <c r="J526" s="257"/>
      <c r="K526" s="255"/>
      <c r="L526" s="256"/>
      <c r="M526" s="256"/>
      <c r="N526" s="256"/>
      <c r="O526" s="255"/>
      <c r="P526" s="255"/>
      <c r="Q526" s="256"/>
      <c r="R526" s="258"/>
      <c r="S526" s="15"/>
      <c r="T526" s="15"/>
      <c r="U526" s="15"/>
      <c r="V526" s="15"/>
    </row>
    <row r="527" spans="1:22">
      <c r="A527" s="253"/>
      <c r="B527" s="317"/>
      <c r="C527" s="318"/>
      <c r="D527" s="319"/>
      <c r="E527" s="319"/>
      <c r="F527" s="319"/>
      <c r="G527" s="319"/>
      <c r="H527" s="319"/>
      <c r="I527" s="319"/>
      <c r="J527" s="320"/>
      <c r="K527" s="318"/>
      <c r="L527" s="319"/>
      <c r="M527" s="319"/>
      <c r="N527" s="319"/>
      <c r="O527" s="318"/>
      <c r="P527" s="321"/>
      <c r="Q527" s="319"/>
      <c r="R527" s="322"/>
      <c r="S527" s="15"/>
      <c r="T527" s="15"/>
      <c r="U527" s="15"/>
      <c r="V527" s="15"/>
    </row>
    <row r="528" spans="1:22">
      <c r="A528" s="253"/>
      <c r="B528" s="234"/>
      <c r="C528" s="249"/>
      <c r="D528" s="250"/>
      <c r="E528" s="250"/>
      <c r="F528" s="250"/>
      <c r="G528" s="250"/>
      <c r="H528" s="250"/>
      <c r="I528" s="250"/>
      <c r="J528" s="251"/>
      <c r="K528" s="249"/>
      <c r="L528" s="250"/>
      <c r="M528" s="250"/>
      <c r="N528" s="250"/>
      <c r="O528" s="249"/>
      <c r="P528" s="249"/>
      <c r="Q528" s="250"/>
      <c r="R528" s="252"/>
      <c r="S528" s="15"/>
      <c r="T528" s="15"/>
      <c r="U528" s="15"/>
      <c r="V528" s="15"/>
    </row>
    <row r="529" spans="1:22">
      <c r="A529" s="253"/>
      <c r="B529" s="254"/>
      <c r="C529" s="255"/>
      <c r="D529" s="256"/>
      <c r="E529" s="256"/>
      <c r="F529" s="256"/>
      <c r="G529" s="256"/>
      <c r="H529" s="256"/>
      <c r="I529" s="256"/>
      <c r="J529" s="257"/>
      <c r="K529" s="255"/>
      <c r="L529" s="256"/>
      <c r="M529" s="256"/>
      <c r="N529" s="256"/>
      <c r="O529" s="255"/>
      <c r="P529" s="255"/>
      <c r="Q529" s="256"/>
      <c r="R529" s="258"/>
      <c r="S529" s="15"/>
      <c r="T529" s="15"/>
      <c r="U529" s="15"/>
      <c r="V529" s="15"/>
    </row>
    <row r="530" spans="1:22">
      <c r="A530" s="253"/>
      <c r="B530" s="317"/>
      <c r="C530" s="318"/>
      <c r="D530" s="319"/>
      <c r="E530" s="319"/>
      <c r="F530" s="331"/>
      <c r="G530" s="331"/>
      <c r="H530" s="319"/>
      <c r="I530" s="319"/>
      <c r="J530" s="320"/>
      <c r="K530" s="318"/>
      <c r="L530" s="319"/>
      <c r="M530" s="319"/>
      <c r="N530" s="319"/>
      <c r="O530" s="318"/>
      <c r="P530" s="321"/>
      <c r="Q530" s="319"/>
      <c r="R530" s="322"/>
      <c r="S530" s="15"/>
      <c r="T530" s="15"/>
      <c r="U530" s="15"/>
      <c r="V530" s="15"/>
    </row>
    <row r="531" spans="1:22">
      <c r="A531" s="253"/>
      <c r="B531" s="234"/>
      <c r="C531" s="249"/>
      <c r="D531" s="250"/>
      <c r="E531" s="250"/>
      <c r="F531" s="250"/>
      <c r="G531" s="250"/>
      <c r="H531" s="250"/>
      <c r="I531" s="250"/>
      <c r="J531" s="251"/>
      <c r="K531" s="249"/>
      <c r="L531" s="250"/>
      <c r="M531" s="250"/>
      <c r="N531" s="250"/>
      <c r="O531" s="249"/>
      <c r="P531" s="249"/>
      <c r="Q531" s="250"/>
      <c r="R531" s="252"/>
      <c r="S531" s="15"/>
      <c r="T531" s="15"/>
      <c r="U531" s="15"/>
      <c r="V531" s="15"/>
    </row>
    <row r="532" spans="1:22">
      <c r="A532" s="253"/>
      <c r="B532" s="254"/>
      <c r="C532" s="255"/>
      <c r="D532" s="256"/>
      <c r="E532" s="256"/>
      <c r="F532" s="256"/>
      <c r="G532" s="256"/>
      <c r="H532" s="256"/>
      <c r="I532" s="256"/>
      <c r="J532" s="257"/>
      <c r="K532" s="255"/>
      <c r="L532" s="256"/>
      <c r="M532" s="256"/>
      <c r="N532" s="256"/>
      <c r="O532" s="255"/>
      <c r="P532" s="255"/>
      <c r="Q532" s="256"/>
      <c r="R532" s="258"/>
      <c r="S532" s="15"/>
      <c r="T532" s="15"/>
      <c r="U532" s="15"/>
      <c r="V532" s="15"/>
    </row>
    <row r="533" spans="1:22">
      <c r="A533" s="253"/>
      <c r="B533" s="317"/>
      <c r="C533" s="318"/>
      <c r="D533" s="319"/>
      <c r="E533" s="319"/>
      <c r="F533" s="331"/>
      <c r="G533" s="331"/>
      <c r="H533" s="319"/>
      <c r="I533" s="319"/>
      <c r="J533" s="320"/>
      <c r="K533" s="318"/>
      <c r="L533" s="319"/>
      <c r="M533" s="319"/>
      <c r="N533" s="319"/>
      <c r="O533" s="318"/>
      <c r="P533" s="321"/>
      <c r="Q533" s="319"/>
      <c r="R533" s="322"/>
      <c r="S533" s="15"/>
      <c r="T533" s="15"/>
      <c r="U533" s="15"/>
      <c r="V533" s="15"/>
    </row>
    <row r="534" spans="1:22">
      <c r="A534" s="253"/>
      <c r="B534" s="234"/>
      <c r="C534" s="249"/>
      <c r="D534" s="250"/>
      <c r="E534" s="250"/>
      <c r="F534" s="250"/>
      <c r="G534" s="250"/>
      <c r="H534" s="250"/>
      <c r="I534" s="250"/>
      <c r="J534" s="251"/>
      <c r="K534" s="249"/>
      <c r="L534" s="250"/>
      <c r="M534" s="250"/>
      <c r="N534" s="250"/>
      <c r="O534" s="249"/>
      <c r="P534" s="249"/>
      <c r="Q534" s="250"/>
      <c r="R534" s="252"/>
      <c r="S534" s="15"/>
      <c r="T534" s="15"/>
      <c r="U534" s="15"/>
      <c r="V534" s="15"/>
    </row>
    <row r="535" spans="1:22">
      <c r="A535" s="253"/>
      <c r="B535" s="254"/>
      <c r="C535" s="255"/>
      <c r="D535" s="256"/>
      <c r="E535" s="256"/>
      <c r="F535" s="256"/>
      <c r="G535" s="256"/>
      <c r="H535" s="256"/>
      <c r="I535" s="256"/>
      <c r="J535" s="257"/>
      <c r="K535" s="255"/>
      <c r="L535" s="256"/>
      <c r="M535" s="256"/>
      <c r="N535" s="256"/>
      <c r="O535" s="255"/>
      <c r="P535" s="255"/>
      <c r="Q535" s="256"/>
      <c r="R535" s="258"/>
      <c r="S535" s="15"/>
      <c r="T535" s="15"/>
      <c r="U535" s="15"/>
      <c r="V535" s="15"/>
    </row>
    <row r="536" spans="1:22">
      <c r="A536" s="253"/>
      <c r="B536" s="317"/>
      <c r="C536" s="318"/>
      <c r="D536" s="319"/>
      <c r="E536" s="319"/>
      <c r="F536" s="319"/>
      <c r="G536" s="331"/>
      <c r="H536" s="319"/>
      <c r="I536" s="319"/>
      <c r="J536" s="320"/>
      <c r="K536" s="318"/>
      <c r="L536" s="319"/>
      <c r="M536" s="319"/>
      <c r="N536" s="319"/>
      <c r="O536" s="318"/>
      <c r="P536" s="321"/>
      <c r="Q536" s="319"/>
      <c r="R536" s="322"/>
      <c r="S536" s="15"/>
      <c r="T536" s="15"/>
      <c r="U536" s="15"/>
      <c r="V536" s="15"/>
    </row>
    <row r="537" spans="1:22">
      <c r="A537" s="253"/>
      <c r="B537" s="234"/>
      <c r="C537" s="249"/>
      <c r="D537" s="250"/>
      <c r="E537" s="250"/>
      <c r="F537" s="250"/>
      <c r="G537" s="250"/>
      <c r="H537" s="250"/>
      <c r="I537" s="250"/>
      <c r="J537" s="251"/>
      <c r="K537" s="249"/>
      <c r="L537" s="250"/>
      <c r="M537" s="250"/>
      <c r="N537" s="250"/>
      <c r="O537" s="249"/>
      <c r="P537" s="249"/>
      <c r="Q537" s="250"/>
      <c r="R537" s="252"/>
      <c r="S537" s="15"/>
      <c r="T537" s="15"/>
      <c r="U537" s="15"/>
      <c r="V537" s="15"/>
    </row>
    <row r="538" spans="1:22">
      <c r="A538" s="253"/>
      <c r="B538" s="254"/>
      <c r="C538" s="255"/>
      <c r="D538" s="256"/>
      <c r="E538" s="256"/>
      <c r="F538" s="256"/>
      <c r="G538" s="256"/>
      <c r="H538" s="256"/>
      <c r="I538" s="256"/>
      <c r="J538" s="257"/>
      <c r="K538" s="255"/>
      <c r="L538" s="256"/>
      <c r="M538" s="256"/>
      <c r="N538" s="256"/>
      <c r="O538" s="255"/>
      <c r="P538" s="255"/>
      <c r="Q538" s="256"/>
      <c r="R538" s="258"/>
      <c r="S538" s="15"/>
      <c r="T538" s="15"/>
      <c r="U538" s="15"/>
      <c r="V538" s="15"/>
    </row>
    <row r="539" spans="1:22">
      <c r="A539" s="253"/>
      <c r="B539" s="317"/>
      <c r="C539" s="318"/>
      <c r="D539" s="319"/>
      <c r="E539" s="319"/>
      <c r="F539" s="319"/>
      <c r="G539" s="319"/>
      <c r="H539" s="319"/>
      <c r="I539" s="319"/>
      <c r="J539" s="320"/>
      <c r="K539" s="318"/>
      <c r="L539" s="319"/>
      <c r="M539" s="319"/>
      <c r="N539" s="319"/>
      <c r="O539" s="318"/>
      <c r="P539" s="321"/>
      <c r="Q539" s="319"/>
      <c r="R539" s="322"/>
      <c r="S539" s="15"/>
      <c r="T539" s="15"/>
      <c r="U539" s="15"/>
      <c r="V539" s="15"/>
    </row>
    <row r="540" spans="1:22">
      <c r="A540" s="253"/>
      <c r="B540" s="234"/>
      <c r="C540" s="249"/>
      <c r="D540" s="250"/>
      <c r="E540" s="250"/>
      <c r="F540" s="250"/>
      <c r="G540" s="250"/>
      <c r="H540" s="250"/>
      <c r="I540" s="250"/>
      <c r="J540" s="251"/>
      <c r="K540" s="249"/>
      <c r="L540" s="250"/>
      <c r="M540" s="250"/>
      <c r="N540" s="250"/>
      <c r="O540" s="249"/>
      <c r="P540" s="249"/>
      <c r="Q540" s="250"/>
      <c r="R540" s="252"/>
      <c r="S540" s="15"/>
      <c r="T540" s="15"/>
      <c r="U540" s="15"/>
      <c r="V540" s="15"/>
    </row>
    <row r="541" spans="1:22">
      <c r="A541" s="253"/>
      <c r="B541" s="254"/>
      <c r="C541" s="255"/>
      <c r="D541" s="256"/>
      <c r="E541" s="256"/>
      <c r="F541" s="256"/>
      <c r="G541" s="256"/>
      <c r="H541" s="256"/>
      <c r="I541" s="256"/>
      <c r="J541" s="257"/>
      <c r="K541" s="255"/>
      <c r="L541" s="256"/>
      <c r="M541" s="256"/>
      <c r="N541" s="256"/>
      <c r="O541" s="255"/>
      <c r="P541" s="255"/>
      <c r="Q541" s="256"/>
      <c r="R541" s="258"/>
      <c r="S541" s="15"/>
      <c r="T541" s="15"/>
      <c r="U541" s="15"/>
      <c r="V541" s="15"/>
    </row>
    <row r="542" spans="1:22">
      <c r="A542" s="253"/>
      <c r="B542" s="317"/>
      <c r="C542" s="318"/>
      <c r="D542" s="319"/>
      <c r="E542" s="319"/>
      <c r="F542" s="319"/>
      <c r="G542" s="319"/>
      <c r="H542" s="319"/>
      <c r="I542" s="319"/>
      <c r="J542" s="320"/>
      <c r="K542" s="318"/>
      <c r="L542" s="319"/>
      <c r="M542" s="319"/>
      <c r="N542" s="319"/>
      <c r="O542" s="318"/>
      <c r="P542" s="321"/>
      <c r="Q542" s="319"/>
      <c r="R542" s="322"/>
      <c r="S542" s="15"/>
      <c r="T542" s="15"/>
      <c r="U542" s="15"/>
      <c r="V542" s="15"/>
    </row>
    <row r="543" spans="1:22">
      <c r="A543" s="253"/>
      <c r="B543" s="234"/>
      <c r="C543" s="249"/>
      <c r="D543" s="250"/>
      <c r="E543" s="250"/>
      <c r="F543" s="250"/>
      <c r="G543" s="250"/>
      <c r="H543" s="250"/>
      <c r="I543" s="250"/>
      <c r="J543" s="251"/>
      <c r="K543" s="249"/>
      <c r="L543" s="250"/>
      <c r="M543" s="250"/>
      <c r="N543" s="250"/>
      <c r="O543" s="249"/>
      <c r="P543" s="249"/>
      <c r="Q543" s="250"/>
      <c r="R543" s="252"/>
      <c r="S543" s="15"/>
      <c r="T543" s="15"/>
      <c r="U543" s="15"/>
      <c r="V543" s="15"/>
    </row>
    <row r="544" spans="1:22">
      <c r="A544" s="253"/>
      <c r="B544" s="254"/>
      <c r="C544" s="255"/>
      <c r="D544" s="256"/>
      <c r="E544" s="256"/>
      <c r="F544" s="256"/>
      <c r="G544" s="256"/>
      <c r="H544" s="256"/>
      <c r="I544" s="256"/>
      <c r="J544" s="257"/>
      <c r="K544" s="255"/>
      <c r="L544" s="256"/>
      <c r="M544" s="256"/>
      <c r="N544" s="256"/>
      <c r="O544" s="255"/>
      <c r="P544" s="255"/>
      <c r="Q544" s="256"/>
      <c r="R544" s="258"/>
      <c r="S544" s="15"/>
      <c r="T544" s="15"/>
      <c r="U544" s="15"/>
      <c r="V544" s="15"/>
    </row>
    <row r="545" spans="1:22">
      <c r="A545" s="260"/>
      <c r="B545" s="317"/>
      <c r="C545" s="318"/>
      <c r="D545" s="319"/>
      <c r="E545" s="319"/>
      <c r="F545" s="319"/>
      <c r="G545" s="319"/>
      <c r="H545" s="319"/>
      <c r="I545" s="319"/>
      <c r="J545" s="320"/>
      <c r="K545" s="318"/>
      <c r="L545" s="319"/>
      <c r="M545" s="319"/>
      <c r="N545" s="319"/>
      <c r="O545" s="318"/>
      <c r="P545" s="321"/>
      <c r="Q545" s="319"/>
      <c r="R545" s="322"/>
      <c r="S545" s="15"/>
      <c r="T545" s="15"/>
      <c r="U545" s="15"/>
      <c r="V545" s="15"/>
    </row>
    <row r="546" spans="1:22">
      <c r="A546" s="248"/>
      <c r="B546" s="234"/>
      <c r="C546" s="249"/>
      <c r="D546" s="250"/>
      <c r="E546" s="250"/>
      <c r="F546" s="250"/>
      <c r="G546" s="250"/>
      <c r="H546" s="250"/>
      <c r="I546" s="250"/>
      <c r="J546" s="251"/>
      <c r="K546" s="249"/>
      <c r="L546" s="250"/>
      <c r="M546" s="250"/>
      <c r="N546" s="250"/>
      <c r="O546" s="249"/>
      <c r="P546" s="249"/>
      <c r="Q546" s="250"/>
      <c r="R546" s="252"/>
      <c r="S546" s="15"/>
      <c r="T546" s="15"/>
      <c r="U546" s="15"/>
      <c r="V546" s="15"/>
    </row>
    <row r="547" spans="1:22">
      <c r="A547" s="253"/>
      <c r="B547" s="254"/>
      <c r="C547" s="255"/>
      <c r="D547" s="256"/>
      <c r="E547" s="256"/>
      <c r="F547" s="256"/>
      <c r="G547" s="256"/>
      <c r="H547" s="256"/>
      <c r="I547" s="256"/>
      <c r="J547" s="257"/>
      <c r="K547" s="255"/>
      <c r="L547" s="256"/>
      <c r="M547" s="256"/>
      <c r="N547" s="256"/>
      <c r="O547" s="255"/>
      <c r="P547" s="255"/>
      <c r="Q547" s="256"/>
      <c r="R547" s="258"/>
      <c r="S547" s="15"/>
      <c r="T547" s="15"/>
      <c r="U547" s="15"/>
      <c r="V547" s="15"/>
    </row>
    <row r="548" spans="1:22">
      <c r="A548" s="253"/>
      <c r="B548" s="317"/>
      <c r="C548" s="318"/>
      <c r="D548" s="319"/>
      <c r="E548" s="319"/>
      <c r="F548" s="319"/>
      <c r="G548" s="319"/>
      <c r="H548" s="319"/>
      <c r="I548" s="319"/>
      <c r="J548" s="320"/>
      <c r="K548" s="318"/>
      <c r="L548" s="319"/>
      <c r="M548" s="331"/>
      <c r="N548" s="319"/>
      <c r="O548" s="318"/>
      <c r="P548" s="321"/>
      <c r="Q548" s="319"/>
      <c r="R548" s="322"/>
      <c r="S548" s="15"/>
      <c r="T548" s="15"/>
      <c r="U548" s="15"/>
      <c r="V548" s="15"/>
    </row>
    <row r="549" spans="1:22">
      <c r="A549" s="253"/>
      <c r="B549" s="234"/>
      <c r="C549" s="249"/>
      <c r="D549" s="250"/>
      <c r="E549" s="250"/>
      <c r="F549" s="250"/>
      <c r="G549" s="250"/>
      <c r="H549" s="250"/>
      <c r="I549" s="250"/>
      <c r="J549" s="251"/>
      <c r="K549" s="249"/>
      <c r="L549" s="250"/>
      <c r="M549" s="250"/>
      <c r="N549" s="250"/>
      <c r="O549" s="249"/>
      <c r="P549" s="249"/>
      <c r="Q549" s="250"/>
      <c r="R549" s="252"/>
      <c r="S549" s="15"/>
      <c r="T549" s="15"/>
      <c r="U549" s="15"/>
      <c r="V549" s="15"/>
    </row>
    <row r="550" spans="1:22">
      <c r="A550" s="253"/>
      <c r="B550" s="254"/>
      <c r="C550" s="255"/>
      <c r="D550" s="256"/>
      <c r="E550" s="256"/>
      <c r="F550" s="256"/>
      <c r="G550" s="256"/>
      <c r="H550" s="256"/>
      <c r="I550" s="256"/>
      <c r="J550" s="257"/>
      <c r="K550" s="255"/>
      <c r="L550" s="256"/>
      <c r="M550" s="256"/>
      <c r="N550" s="256"/>
      <c r="O550" s="255"/>
      <c r="P550" s="255"/>
      <c r="Q550" s="256"/>
      <c r="R550" s="258"/>
      <c r="S550" s="15"/>
      <c r="T550" s="15"/>
      <c r="U550" s="15"/>
      <c r="V550" s="15"/>
    </row>
    <row r="551" spans="1:22">
      <c r="A551" s="253"/>
      <c r="B551" s="317"/>
      <c r="C551" s="318"/>
      <c r="D551" s="319"/>
      <c r="E551" s="319"/>
      <c r="F551" s="319"/>
      <c r="G551" s="319"/>
      <c r="H551" s="319"/>
      <c r="I551" s="319"/>
      <c r="J551" s="320"/>
      <c r="K551" s="318"/>
      <c r="L551" s="319"/>
      <c r="M551" s="319"/>
      <c r="N551" s="319"/>
      <c r="O551" s="318"/>
      <c r="P551" s="321"/>
      <c r="Q551" s="319"/>
      <c r="R551" s="322"/>
      <c r="S551" s="15"/>
      <c r="T551" s="15"/>
      <c r="U551" s="15"/>
      <c r="V551" s="15"/>
    </row>
    <row r="552" spans="1:22">
      <c r="A552" s="253"/>
      <c r="B552" s="234"/>
      <c r="C552" s="249"/>
      <c r="D552" s="250"/>
      <c r="E552" s="250"/>
      <c r="F552" s="250"/>
      <c r="G552" s="250"/>
      <c r="H552" s="250"/>
      <c r="I552" s="250"/>
      <c r="J552" s="251"/>
      <c r="K552" s="249"/>
      <c r="L552" s="250"/>
      <c r="M552" s="250"/>
      <c r="N552" s="250"/>
      <c r="O552" s="249"/>
      <c r="P552" s="249"/>
      <c r="Q552" s="250"/>
      <c r="R552" s="252"/>
      <c r="S552" s="15"/>
      <c r="T552" s="15"/>
      <c r="U552" s="15"/>
      <c r="V552" s="15"/>
    </row>
    <row r="553" spans="1:22">
      <c r="A553" s="253"/>
      <c r="B553" s="254"/>
      <c r="C553" s="255"/>
      <c r="D553" s="256"/>
      <c r="E553" s="256"/>
      <c r="F553" s="256"/>
      <c r="G553" s="256"/>
      <c r="H553" s="256"/>
      <c r="I553" s="256"/>
      <c r="J553" s="257"/>
      <c r="K553" s="255"/>
      <c r="L553" s="256"/>
      <c r="M553" s="256"/>
      <c r="N553" s="256"/>
      <c r="O553" s="255"/>
      <c r="P553" s="255"/>
      <c r="Q553" s="256"/>
      <c r="R553" s="258"/>
      <c r="S553" s="15"/>
      <c r="T553" s="15"/>
      <c r="U553" s="15"/>
      <c r="V553" s="15"/>
    </row>
    <row r="554" spans="1:22">
      <c r="A554" s="253"/>
      <c r="B554" s="317"/>
      <c r="C554" s="318"/>
      <c r="D554" s="319"/>
      <c r="E554" s="319"/>
      <c r="F554" s="319"/>
      <c r="G554" s="319"/>
      <c r="H554" s="319"/>
      <c r="I554" s="319"/>
      <c r="J554" s="320"/>
      <c r="K554" s="318"/>
      <c r="L554" s="319"/>
      <c r="M554" s="331"/>
      <c r="N554" s="319"/>
      <c r="O554" s="318"/>
      <c r="P554" s="321"/>
      <c r="Q554" s="319"/>
      <c r="R554" s="322"/>
      <c r="S554" s="15"/>
      <c r="T554" s="15"/>
      <c r="U554" s="15"/>
      <c r="V554" s="15"/>
    </row>
    <row r="555" spans="1:22">
      <c r="A555" s="253"/>
      <c r="B555" s="234"/>
      <c r="C555" s="249"/>
      <c r="D555" s="250"/>
      <c r="E555" s="250"/>
      <c r="F555" s="250"/>
      <c r="G555" s="250"/>
      <c r="H555" s="250"/>
      <c r="I555" s="250"/>
      <c r="J555" s="251"/>
      <c r="K555" s="249"/>
      <c r="L555" s="250"/>
      <c r="M555" s="250"/>
      <c r="N555" s="250"/>
      <c r="O555" s="249"/>
      <c r="P555" s="249"/>
      <c r="Q555" s="250"/>
      <c r="R555" s="252"/>
      <c r="S555" s="15"/>
      <c r="T555" s="15"/>
      <c r="U555" s="15"/>
      <c r="V555" s="15"/>
    </row>
    <row r="556" spans="1:22">
      <c r="A556" s="253"/>
      <c r="B556" s="254"/>
      <c r="C556" s="255"/>
      <c r="D556" s="256"/>
      <c r="E556" s="256"/>
      <c r="F556" s="256"/>
      <c r="G556" s="256"/>
      <c r="H556" s="256"/>
      <c r="I556" s="256"/>
      <c r="J556" s="257"/>
      <c r="K556" s="255"/>
      <c r="L556" s="256"/>
      <c r="M556" s="256"/>
      <c r="N556" s="256"/>
      <c r="O556" s="255"/>
      <c r="P556" s="255"/>
      <c r="Q556" s="256"/>
      <c r="R556" s="258"/>
      <c r="S556" s="15"/>
      <c r="T556" s="15"/>
      <c r="U556" s="15"/>
      <c r="V556" s="15"/>
    </row>
    <row r="557" spans="1:22">
      <c r="A557" s="253"/>
      <c r="B557" s="317"/>
      <c r="C557" s="318"/>
      <c r="D557" s="319"/>
      <c r="E557" s="319"/>
      <c r="F557" s="319"/>
      <c r="G557" s="319"/>
      <c r="H557" s="319"/>
      <c r="I557" s="319"/>
      <c r="J557" s="320"/>
      <c r="K557" s="318"/>
      <c r="L557" s="319"/>
      <c r="M557" s="319"/>
      <c r="N557" s="319"/>
      <c r="O557" s="318"/>
      <c r="P557" s="321"/>
      <c r="Q557" s="319"/>
      <c r="R557" s="322"/>
      <c r="S557" s="15"/>
      <c r="T557" s="15"/>
      <c r="U557" s="15"/>
      <c r="V557" s="15"/>
    </row>
    <row r="558" spans="1:22">
      <c r="A558" s="253"/>
      <c r="B558" s="234"/>
      <c r="C558" s="249"/>
      <c r="D558" s="250"/>
      <c r="E558" s="250"/>
      <c r="F558" s="250"/>
      <c r="G558" s="250"/>
      <c r="H558" s="250"/>
      <c r="I558" s="250"/>
      <c r="J558" s="251"/>
      <c r="K558" s="249"/>
      <c r="L558" s="250"/>
      <c r="M558" s="250"/>
      <c r="N558" s="250"/>
      <c r="O558" s="249"/>
      <c r="P558" s="249"/>
      <c r="Q558" s="250"/>
      <c r="R558" s="252"/>
      <c r="S558" s="15"/>
      <c r="T558" s="15"/>
      <c r="U558" s="15"/>
      <c r="V558" s="15"/>
    </row>
    <row r="559" spans="1:22">
      <c r="A559" s="253"/>
      <c r="B559" s="254"/>
      <c r="C559" s="255"/>
      <c r="D559" s="256"/>
      <c r="E559" s="256"/>
      <c r="F559" s="256"/>
      <c r="G559" s="256"/>
      <c r="H559" s="256"/>
      <c r="I559" s="256"/>
      <c r="J559" s="257"/>
      <c r="K559" s="255"/>
      <c r="L559" s="256"/>
      <c r="M559" s="256"/>
      <c r="N559" s="256"/>
      <c r="O559" s="255"/>
      <c r="P559" s="255"/>
      <c r="Q559" s="256"/>
      <c r="R559" s="258"/>
      <c r="S559" s="15"/>
      <c r="T559" s="15"/>
      <c r="U559" s="15"/>
      <c r="V559" s="15"/>
    </row>
    <row r="560" spans="1:22">
      <c r="A560" s="253"/>
      <c r="B560" s="317"/>
      <c r="C560" s="318"/>
      <c r="D560" s="319"/>
      <c r="E560" s="319"/>
      <c r="F560" s="319"/>
      <c r="G560" s="319"/>
      <c r="H560" s="319"/>
      <c r="I560" s="319"/>
      <c r="J560" s="320"/>
      <c r="K560" s="318"/>
      <c r="L560" s="319"/>
      <c r="M560" s="319"/>
      <c r="N560" s="319"/>
      <c r="O560" s="318"/>
      <c r="P560" s="321"/>
      <c r="Q560" s="319"/>
      <c r="R560" s="322"/>
      <c r="S560" s="15"/>
      <c r="T560" s="15"/>
      <c r="U560" s="15"/>
      <c r="V560" s="15"/>
    </row>
    <row r="561" spans="1:22">
      <c r="A561" s="253"/>
      <c r="B561" s="234"/>
      <c r="C561" s="249"/>
      <c r="D561" s="250"/>
      <c r="E561" s="250"/>
      <c r="F561" s="250"/>
      <c r="G561" s="250"/>
      <c r="H561" s="250"/>
      <c r="I561" s="250"/>
      <c r="J561" s="251"/>
      <c r="K561" s="249"/>
      <c r="L561" s="250"/>
      <c r="M561" s="250"/>
      <c r="N561" s="250"/>
      <c r="O561" s="249"/>
      <c r="P561" s="249"/>
      <c r="Q561" s="250"/>
      <c r="R561" s="252"/>
      <c r="S561" s="15"/>
      <c r="T561" s="15"/>
      <c r="U561" s="15"/>
      <c r="V561" s="15"/>
    </row>
    <row r="562" spans="1:22">
      <c r="A562" s="253"/>
      <c r="B562" s="254"/>
      <c r="C562" s="255"/>
      <c r="D562" s="256"/>
      <c r="E562" s="256"/>
      <c r="F562" s="256"/>
      <c r="G562" s="256"/>
      <c r="H562" s="256"/>
      <c r="I562" s="256"/>
      <c r="J562" s="257"/>
      <c r="K562" s="255"/>
      <c r="L562" s="256"/>
      <c r="M562" s="256"/>
      <c r="N562" s="256"/>
      <c r="O562" s="255"/>
      <c r="P562" s="255"/>
      <c r="Q562" s="256"/>
      <c r="R562" s="258"/>
      <c r="S562" s="15"/>
      <c r="T562" s="15"/>
      <c r="U562" s="15"/>
      <c r="V562" s="15"/>
    </row>
    <row r="563" spans="1:22">
      <c r="A563" s="253"/>
      <c r="B563" s="317"/>
      <c r="C563" s="318"/>
      <c r="D563" s="319"/>
      <c r="E563" s="319"/>
      <c r="F563" s="319"/>
      <c r="G563" s="319"/>
      <c r="H563" s="319"/>
      <c r="I563" s="319"/>
      <c r="J563" s="320"/>
      <c r="K563" s="318"/>
      <c r="L563" s="319"/>
      <c r="M563" s="319"/>
      <c r="N563" s="319"/>
      <c r="O563" s="318"/>
      <c r="P563" s="321"/>
      <c r="Q563" s="319"/>
      <c r="R563" s="322"/>
      <c r="S563" s="15"/>
      <c r="T563" s="15"/>
      <c r="U563" s="15"/>
      <c r="V563" s="15"/>
    </row>
    <row r="564" spans="1:22">
      <c r="A564" s="253"/>
      <c r="B564" s="234"/>
      <c r="C564" s="249"/>
      <c r="D564" s="250"/>
      <c r="E564" s="250"/>
      <c r="F564" s="250"/>
      <c r="G564" s="250"/>
      <c r="H564" s="250"/>
      <c r="I564" s="250"/>
      <c r="J564" s="251"/>
      <c r="K564" s="249"/>
      <c r="L564" s="250"/>
      <c r="M564" s="250"/>
      <c r="N564" s="250"/>
      <c r="O564" s="249"/>
      <c r="P564" s="249"/>
      <c r="Q564" s="250"/>
      <c r="R564" s="252"/>
      <c r="S564" s="15"/>
      <c r="T564" s="15"/>
      <c r="U564" s="15"/>
      <c r="V564" s="15"/>
    </row>
    <row r="565" spans="1:22">
      <c r="A565" s="253"/>
      <c r="B565" s="254"/>
      <c r="C565" s="255"/>
      <c r="D565" s="256"/>
      <c r="E565" s="256"/>
      <c r="F565" s="256"/>
      <c r="G565" s="256"/>
      <c r="H565" s="256"/>
      <c r="I565" s="256"/>
      <c r="J565" s="257"/>
      <c r="K565" s="255"/>
      <c r="L565" s="256"/>
      <c r="M565" s="256"/>
      <c r="N565" s="256"/>
      <c r="O565" s="255"/>
      <c r="P565" s="255"/>
      <c r="Q565" s="256"/>
      <c r="R565" s="258"/>
      <c r="S565" s="15"/>
      <c r="T565" s="15"/>
      <c r="U565" s="15"/>
      <c r="V565" s="15"/>
    </row>
    <row r="566" spans="1:22">
      <c r="A566" s="253"/>
      <c r="B566" s="317"/>
      <c r="C566" s="318"/>
      <c r="D566" s="319"/>
      <c r="E566" s="319"/>
      <c r="F566" s="319"/>
      <c r="G566" s="319"/>
      <c r="H566" s="319"/>
      <c r="I566" s="319"/>
      <c r="J566" s="320"/>
      <c r="K566" s="318"/>
      <c r="L566" s="319"/>
      <c r="M566" s="319"/>
      <c r="N566" s="319"/>
      <c r="O566" s="318"/>
      <c r="P566" s="321"/>
      <c r="Q566" s="319"/>
      <c r="R566" s="322"/>
      <c r="S566" s="15"/>
      <c r="T566" s="15"/>
      <c r="U566" s="15"/>
      <c r="V566" s="15"/>
    </row>
    <row r="567" spans="1:22">
      <c r="A567" s="253"/>
      <c r="B567" s="234"/>
      <c r="C567" s="249"/>
      <c r="D567" s="250"/>
      <c r="E567" s="250"/>
      <c r="F567" s="250"/>
      <c r="G567" s="250"/>
      <c r="H567" s="250"/>
      <c r="I567" s="250"/>
      <c r="J567" s="251"/>
      <c r="K567" s="249"/>
      <c r="L567" s="250"/>
      <c r="M567" s="250"/>
      <c r="N567" s="250"/>
      <c r="O567" s="249"/>
      <c r="P567" s="249"/>
      <c r="Q567" s="250"/>
      <c r="R567" s="252"/>
      <c r="S567" s="15"/>
      <c r="T567" s="15"/>
      <c r="U567" s="15"/>
      <c r="V567" s="15"/>
    </row>
    <row r="568" spans="1:22">
      <c r="A568" s="253"/>
      <c r="B568" s="254"/>
      <c r="C568" s="255"/>
      <c r="D568" s="256"/>
      <c r="E568" s="256"/>
      <c r="F568" s="256"/>
      <c r="G568" s="256"/>
      <c r="H568" s="256"/>
      <c r="I568" s="256"/>
      <c r="J568" s="257"/>
      <c r="K568" s="255"/>
      <c r="L568" s="256"/>
      <c r="M568" s="256"/>
      <c r="N568" s="256"/>
      <c r="O568" s="255"/>
      <c r="P568" s="255"/>
      <c r="Q568" s="256"/>
      <c r="R568" s="258"/>
      <c r="S568" s="15"/>
      <c r="T568" s="15"/>
      <c r="U568" s="15"/>
      <c r="V568" s="15"/>
    </row>
    <row r="569" spans="1:22">
      <c r="A569" s="253"/>
      <c r="B569" s="317"/>
      <c r="C569" s="318"/>
      <c r="D569" s="319"/>
      <c r="E569" s="331"/>
      <c r="F569" s="319"/>
      <c r="G569" s="319"/>
      <c r="H569" s="319"/>
      <c r="I569" s="319"/>
      <c r="J569" s="320"/>
      <c r="K569" s="318"/>
      <c r="L569" s="319"/>
      <c r="M569" s="319"/>
      <c r="N569" s="319"/>
      <c r="O569" s="318"/>
      <c r="P569" s="321"/>
      <c r="Q569" s="319"/>
      <c r="R569" s="322"/>
      <c r="S569" s="15"/>
      <c r="T569" s="15"/>
      <c r="U569" s="15"/>
      <c r="V569" s="15"/>
    </row>
    <row r="570" spans="1:22">
      <c r="A570" s="253"/>
      <c r="B570" s="234"/>
      <c r="C570" s="249"/>
      <c r="D570" s="250"/>
      <c r="E570" s="250"/>
      <c r="F570" s="250"/>
      <c r="G570" s="250"/>
      <c r="H570" s="250"/>
      <c r="I570" s="250"/>
      <c r="J570" s="251"/>
      <c r="K570" s="249"/>
      <c r="L570" s="250"/>
      <c r="M570" s="250"/>
      <c r="N570" s="250"/>
      <c r="O570" s="249"/>
      <c r="P570" s="249"/>
      <c r="Q570" s="250"/>
      <c r="R570" s="252"/>
      <c r="S570" s="15"/>
      <c r="T570" s="15"/>
      <c r="U570" s="15"/>
      <c r="V570" s="15"/>
    </row>
    <row r="571" spans="1:22">
      <c r="A571" s="253"/>
      <c r="B571" s="254"/>
      <c r="C571" s="255"/>
      <c r="D571" s="256"/>
      <c r="E571" s="256"/>
      <c r="F571" s="256"/>
      <c r="G571" s="256"/>
      <c r="H571" s="256"/>
      <c r="I571" s="256"/>
      <c r="J571" s="257"/>
      <c r="K571" s="255"/>
      <c r="L571" s="256"/>
      <c r="M571" s="256"/>
      <c r="N571" s="256"/>
      <c r="O571" s="255"/>
      <c r="P571" s="255"/>
      <c r="Q571" s="256"/>
      <c r="R571" s="258"/>
      <c r="S571" s="15"/>
      <c r="T571" s="15"/>
      <c r="U571" s="15"/>
      <c r="V571" s="15"/>
    </row>
    <row r="572" spans="1:22">
      <c r="A572" s="253"/>
      <c r="B572" s="317"/>
      <c r="C572" s="318"/>
      <c r="D572" s="319"/>
      <c r="E572" s="319"/>
      <c r="F572" s="319"/>
      <c r="G572" s="319"/>
      <c r="H572" s="319"/>
      <c r="I572" s="319"/>
      <c r="J572" s="320"/>
      <c r="K572" s="318"/>
      <c r="L572" s="319"/>
      <c r="M572" s="319"/>
      <c r="N572" s="319"/>
      <c r="O572" s="318"/>
      <c r="P572" s="321"/>
      <c r="Q572" s="319"/>
      <c r="R572" s="322"/>
      <c r="S572" s="15"/>
      <c r="T572" s="15"/>
      <c r="U572" s="15"/>
      <c r="V572" s="15"/>
    </row>
    <row r="573" spans="1:22">
      <c r="A573" s="253"/>
      <c r="B573" s="234"/>
      <c r="C573" s="249"/>
      <c r="D573" s="250"/>
      <c r="E573" s="250"/>
      <c r="F573" s="250"/>
      <c r="G573" s="250"/>
      <c r="H573" s="250"/>
      <c r="I573" s="250"/>
      <c r="J573" s="251"/>
      <c r="K573" s="249"/>
      <c r="L573" s="250"/>
      <c r="M573" s="250"/>
      <c r="N573" s="250"/>
      <c r="O573" s="249"/>
      <c r="P573" s="249"/>
      <c r="Q573" s="250"/>
      <c r="R573" s="252"/>
      <c r="S573" s="15"/>
      <c r="T573" s="15"/>
      <c r="U573" s="15"/>
      <c r="V573" s="15"/>
    </row>
    <row r="574" spans="1:22">
      <c r="A574" s="253"/>
      <c r="B574" s="254"/>
      <c r="C574" s="255"/>
      <c r="D574" s="256"/>
      <c r="E574" s="256"/>
      <c r="F574" s="256"/>
      <c r="G574" s="256"/>
      <c r="H574" s="256"/>
      <c r="I574" s="256"/>
      <c r="J574" s="257"/>
      <c r="K574" s="255"/>
      <c r="L574" s="256"/>
      <c r="M574" s="256"/>
      <c r="N574" s="256"/>
      <c r="O574" s="255"/>
      <c r="P574" s="255"/>
      <c r="Q574" s="256"/>
      <c r="R574" s="258"/>
      <c r="S574" s="15"/>
      <c r="T574" s="15"/>
      <c r="U574" s="15"/>
      <c r="V574" s="15"/>
    </row>
    <row r="575" spans="1:22">
      <c r="A575" s="253"/>
      <c r="B575" s="317"/>
      <c r="C575" s="318"/>
      <c r="D575" s="319"/>
      <c r="E575" s="319"/>
      <c r="F575" s="319"/>
      <c r="G575" s="319"/>
      <c r="H575" s="319"/>
      <c r="I575" s="319"/>
      <c r="J575" s="320"/>
      <c r="K575" s="318"/>
      <c r="L575" s="319"/>
      <c r="M575" s="319"/>
      <c r="N575" s="319"/>
      <c r="O575" s="318"/>
      <c r="P575" s="321"/>
      <c r="Q575" s="319"/>
      <c r="R575" s="322"/>
      <c r="S575" s="15"/>
      <c r="T575" s="15"/>
      <c r="U575" s="15"/>
      <c r="V575" s="15"/>
    </row>
    <row r="576" spans="1:22">
      <c r="A576" s="253"/>
      <c r="B576" s="234"/>
      <c r="C576" s="249"/>
      <c r="D576" s="250"/>
      <c r="E576" s="250"/>
      <c r="F576" s="250"/>
      <c r="G576" s="250"/>
      <c r="H576" s="250"/>
      <c r="I576" s="250"/>
      <c r="J576" s="251"/>
      <c r="K576" s="249"/>
      <c r="L576" s="250"/>
      <c r="M576" s="250"/>
      <c r="N576" s="250"/>
      <c r="O576" s="249"/>
      <c r="P576" s="249"/>
      <c r="Q576" s="250"/>
      <c r="R576" s="252"/>
      <c r="S576" s="15"/>
      <c r="T576" s="15"/>
      <c r="U576" s="15"/>
      <c r="V576" s="15"/>
    </row>
    <row r="577" spans="1:22">
      <c r="A577" s="253"/>
      <c r="B577" s="254"/>
      <c r="C577" s="255"/>
      <c r="D577" s="256"/>
      <c r="E577" s="256"/>
      <c r="F577" s="256"/>
      <c r="G577" s="256"/>
      <c r="H577" s="256"/>
      <c r="I577" s="256"/>
      <c r="J577" s="257"/>
      <c r="K577" s="255"/>
      <c r="L577" s="256"/>
      <c r="M577" s="256"/>
      <c r="N577" s="256"/>
      <c r="O577" s="255"/>
      <c r="P577" s="255"/>
      <c r="Q577" s="256"/>
      <c r="R577" s="258"/>
      <c r="S577" s="15"/>
      <c r="T577" s="15"/>
      <c r="U577" s="15"/>
      <c r="V577" s="15"/>
    </row>
    <row r="578" spans="1:22">
      <c r="A578" s="253"/>
      <c r="B578" s="317"/>
      <c r="C578" s="318"/>
      <c r="D578" s="319"/>
      <c r="E578" s="319"/>
      <c r="F578" s="319"/>
      <c r="G578" s="319"/>
      <c r="H578" s="319"/>
      <c r="I578" s="319"/>
      <c r="J578" s="320"/>
      <c r="K578" s="318"/>
      <c r="L578" s="319"/>
      <c r="M578" s="319"/>
      <c r="N578" s="319"/>
      <c r="O578" s="318"/>
      <c r="P578" s="321"/>
      <c r="Q578" s="319"/>
      <c r="R578" s="322"/>
      <c r="S578" s="15"/>
      <c r="T578" s="15"/>
      <c r="U578" s="15"/>
      <c r="V578" s="15"/>
    </row>
    <row r="579" spans="1:22">
      <c r="A579" s="253"/>
      <c r="B579" s="234"/>
      <c r="C579" s="249"/>
      <c r="D579" s="250"/>
      <c r="E579" s="250"/>
      <c r="F579" s="250"/>
      <c r="G579" s="250"/>
      <c r="H579" s="250"/>
      <c r="I579" s="250"/>
      <c r="J579" s="251"/>
      <c r="K579" s="249"/>
      <c r="L579" s="250"/>
      <c r="M579" s="250"/>
      <c r="N579" s="250"/>
      <c r="O579" s="249"/>
      <c r="P579" s="249"/>
      <c r="Q579" s="250"/>
      <c r="R579" s="252"/>
      <c r="S579" s="15"/>
      <c r="T579" s="15"/>
      <c r="U579" s="15"/>
      <c r="V579" s="15"/>
    </row>
    <row r="580" spans="1:22">
      <c r="A580" s="253"/>
      <c r="B580" s="254"/>
      <c r="C580" s="255"/>
      <c r="D580" s="256"/>
      <c r="E580" s="256"/>
      <c r="F580" s="256"/>
      <c r="G580" s="256"/>
      <c r="H580" s="256"/>
      <c r="I580" s="256"/>
      <c r="J580" s="257"/>
      <c r="K580" s="255"/>
      <c r="L580" s="256"/>
      <c r="M580" s="256"/>
      <c r="N580" s="256"/>
      <c r="O580" s="255"/>
      <c r="P580" s="255"/>
      <c r="Q580" s="256"/>
      <c r="R580" s="258"/>
      <c r="S580" s="15"/>
      <c r="T580" s="15"/>
      <c r="U580" s="15"/>
      <c r="V580" s="15"/>
    </row>
    <row r="581" spans="1:22">
      <c r="A581" s="260"/>
      <c r="B581" s="317"/>
      <c r="C581" s="318"/>
      <c r="D581" s="319"/>
      <c r="E581" s="319"/>
      <c r="F581" s="319"/>
      <c r="G581" s="319"/>
      <c r="H581" s="319"/>
      <c r="I581" s="319"/>
      <c r="J581" s="320"/>
      <c r="K581" s="318"/>
      <c r="L581" s="319"/>
      <c r="M581" s="319"/>
      <c r="N581" s="319"/>
      <c r="O581" s="318"/>
      <c r="P581" s="321"/>
      <c r="Q581" s="319"/>
      <c r="R581" s="322"/>
      <c r="S581" s="15"/>
      <c r="T581" s="15"/>
      <c r="U581" s="15"/>
      <c r="V581" s="15"/>
    </row>
    <row r="582" spans="1:22">
      <c r="A582" s="248"/>
      <c r="B582" s="234"/>
      <c r="C582" s="249"/>
      <c r="D582" s="250"/>
      <c r="E582" s="250"/>
      <c r="F582" s="250"/>
      <c r="G582" s="250"/>
      <c r="H582" s="250"/>
      <c r="I582" s="250"/>
      <c r="J582" s="251"/>
      <c r="K582" s="249"/>
      <c r="L582" s="250"/>
      <c r="M582" s="250"/>
      <c r="N582" s="250"/>
      <c r="O582" s="249"/>
      <c r="P582" s="249"/>
      <c r="Q582" s="250"/>
      <c r="R582" s="252"/>
      <c r="S582" s="15"/>
      <c r="T582" s="15"/>
      <c r="U582" s="15"/>
      <c r="V582" s="15"/>
    </row>
    <row r="583" spans="1:22">
      <c r="A583" s="253"/>
      <c r="B583" s="254"/>
      <c r="C583" s="255"/>
      <c r="D583" s="256"/>
      <c r="E583" s="256"/>
      <c r="F583" s="256"/>
      <c r="G583" s="256"/>
      <c r="H583" s="256"/>
      <c r="I583" s="256"/>
      <c r="J583" s="257"/>
      <c r="K583" s="255"/>
      <c r="L583" s="256"/>
      <c r="M583" s="256"/>
      <c r="N583" s="256"/>
      <c r="O583" s="255"/>
      <c r="P583" s="255"/>
      <c r="Q583" s="256"/>
      <c r="R583" s="258"/>
      <c r="S583" s="15"/>
      <c r="T583" s="15"/>
      <c r="U583" s="15"/>
      <c r="V583" s="15"/>
    </row>
    <row r="584" spans="1:22">
      <c r="A584" s="253"/>
      <c r="B584" s="317"/>
      <c r="C584" s="318"/>
      <c r="D584" s="319"/>
      <c r="E584" s="319"/>
      <c r="F584" s="319"/>
      <c r="G584" s="319"/>
      <c r="H584" s="319"/>
      <c r="I584" s="319"/>
      <c r="J584" s="320"/>
      <c r="K584" s="318"/>
      <c r="L584" s="319"/>
      <c r="M584" s="319"/>
      <c r="N584" s="319"/>
      <c r="O584" s="318"/>
      <c r="P584" s="321"/>
      <c r="Q584" s="319"/>
      <c r="R584" s="322"/>
      <c r="S584" s="15"/>
      <c r="T584" s="15"/>
      <c r="U584" s="15"/>
      <c r="V584" s="15"/>
    </row>
    <row r="585" spans="1:22">
      <c r="A585" s="253"/>
      <c r="B585" s="234"/>
      <c r="C585" s="249"/>
      <c r="D585" s="250"/>
      <c r="E585" s="250"/>
      <c r="F585" s="250"/>
      <c r="G585" s="250"/>
      <c r="H585" s="250"/>
      <c r="I585" s="250"/>
      <c r="J585" s="251"/>
      <c r="K585" s="249"/>
      <c r="L585" s="250"/>
      <c r="M585" s="250"/>
      <c r="N585" s="250"/>
      <c r="O585" s="249"/>
      <c r="P585" s="249"/>
      <c r="Q585" s="250"/>
      <c r="R585" s="252"/>
      <c r="S585" s="15"/>
      <c r="T585" s="15"/>
      <c r="U585" s="15"/>
      <c r="V585" s="15"/>
    </row>
    <row r="586" spans="1:22">
      <c r="A586" s="253"/>
      <c r="B586" s="254"/>
      <c r="C586" s="255"/>
      <c r="D586" s="256"/>
      <c r="E586" s="256"/>
      <c r="F586" s="256"/>
      <c r="G586" s="256"/>
      <c r="H586" s="256"/>
      <c r="I586" s="256"/>
      <c r="J586" s="257"/>
      <c r="K586" s="255"/>
      <c r="L586" s="256"/>
      <c r="M586" s="256"/>
      <c r="N586" s="256"/>
      <c r="O586" s="255"/>
      <c r="P586" s="255"/>
      <c r="Q586" s="256"/>
      <c r="R586" s="258"/>
      <c r="S586" s="15"/>
      <c r="T586" s="15"/>
      <c r="U586" s="15"/>
      <c r="V586" s="15"/>
    </row>
    <row r="587" spans="1:22">
      <c r="A587" s="253"/>
      <c r="B587" s="317"/>
      <c r="C587" s="318"/>
      <c r="D587" s="319"/>
      <c r="E587" s="319"/>
      <c r="F587" s="319"/>
      <c r="G587" s="319"/>
      <c r="H587" s="319"/>
      <c r="I587" s="319"/>
      <c r="J587" s="320"/>
      <c r="K587" s="318"/>
      <c r="L587" s="319"/>
      <c r="M587" s="319"/>
      <c r="N587" s="319"/>
      <c r="O587" s="318"/>
      <c r="P587" s="321"/>
      <c r="Q587" s="319"/>
      <c r="R587" s="322"/>
      <c r="S587" s="15"/>
      <c r="T587" s="15"/>
      <c r="U587" s="15"/>
      <c r="V587" s="15"/>
    </row>
    <row r="588" spans="1:22">
      <c r="A588" s="253"/>
      <c r="B588" s="234"/>
      <c r="C588" s="249"/>
      <c r="D588" s="250"/>
      <c r="E588" s="250"/>
      <c r="F588" s="250"/>
      <c r="G588" s="250"/>
      <c r="H588" s="250"/>
      <c r="I588" s="250"/>
      <c r="J588" s="251"/>
      <c r="K588" s="249"/>
      <c r="L588" s="250"/>
      <c r="M588" s="250"/>
      <c r="N588" s="250"/>
      <c r="O588" s="249"/>
      <c r="P588" s="249"/>
      <c r="Q588" s="250"/>
      <c r="R588" s="252"/>
      <c r="S588" s="15"/>
      <c r="T588" s="15"/>
      <c r="U588" s="15"/>
      <c r="V588" s="15"/>
    </row>
    <row r="589" spans="1:22">
      <c r="A589" s="253"/>
      <c r="B589" s="254"/>
      <c r="C589" s="255"/>
      <c r="D589" s="256"/>
      <c r="E589" s="256"/>
      <c r="F589" s="256"/>
      <c r="G589" s="256"/>
      <c r="H589" s="256"/>
      <c r="I589" s="256"/>
      <c r="J589" s="257"/>
      <c r="K589" s="255"/>
      <c r="L589" s="256"/>
      <c r="M589" s="256"/>
      <c r="N589" s="256"/>
      <c r="O589" s="255"/>
      <c r="P589" s="255"/>
      <c r="Q589" s="256"/>
      <c r="R589" s="258"/>
      <c r="S589" s="15"/>
      <c r="T589" s="15"/>
      <c r="U589" s="15"/>
      <c r="V589" s="15"/>
    </row>
    <row r="590" spans="1:22">
      <c r="A590" s="253"/>
      <c r="B590" s="317"/>
      <c r="C590" s="318"/>
      <c r="D590" s="319"/>
      <c r="E590" s="319"/>
      <c r="F590" s="319"/>
      <c r="G590" s="319"/>
      <c r="H590" s="319"/>
      <c r="I590" s="319"/>
      <c r="J590" s="320"/>
      <c r="K590" s="318"/>
      <c r="L590" s="319"/>
      <c r="M590" s="319"/>
      <c r="N590" s="319"/>
      <c r="O590" s="318"/>
      <c r="P590" s="321"/>
      <c r="Q590" s="319"/>
      <c r="R590" s="322"/>
      <c r="S590" s="15"/>
      <c r="T590" s="15"/>
      <c r="U590" s="15"/>
      <c r="V590" s="15"/>
    </row>
    <row r="591" spans="1:22">
      <c r="A591" s="253"/>
      <c r="B591" s="234"/>
      <c r="C591" s="249"/>
      <c r="D591" s="250"/>
      <c r="E591" s="250"/>
      <c r="F591" s="250"/>
      <c r="G591" s="250"/>
      <c r="H591" s="250"/>
      <c r="I591" s="250"/>
      <c r="J591" s="251"/>
      <c r="K591" s="249"/>
      <c r="L591" s="250"/>
      <c r="M591" s="250"/>
      <c r="N591" s="250"/>
      <c r="O591" s="249"/>
      <c r="P591" s="249"/>
      <c r="Q591" s="250"/>
      <c r="R591" s="252"/>
      <c r="S591" s="15"/>
      <c r="T591" s="15"/>
      <c r="U591" s="15"/>
      <c r="V591" s="15"/>
    </row>
    <row r="592" spans="1:22">
      <c r="A592" s="253"/>
      <c r="B592" s="254"/>
      <c r="C592" s="255"/>
      <c r="D592" s="256"/>
      <c r="E592" s="256"/>
      <c r="F592" s="256"/>
      <c r="G592" s="256"/>
      <c r="H592" s="256"/>
      <c r="I592" s="256"/>
      <c r="J592" s="257"/>
      <c r="K592" s="255"/>
      <c r="L592" s="256"/>
      <c r="M592" s="256"/>
      <c r="N592" s="256"/>
      <c r="O592" s="255"/>
      <c r="P592" s="255"/>
      <c r="Q592" s="256"/>
      <c r="R592" s="258"/>
      <c r="S592" s="15"/>
      <c r="T592" s="15"/>
      <c r="U592" s="15"/>
      <c r="V592" s="15"/>
    </row>
    <row r="593" spans="1:22">
      <c r="A593" s="253"/>
      <c r="B593" s="317"/>
      <c r="C593" s="318"/>
      <c r="D593" s="319"/>
      <c r="E593" s="319"/>
      <c r="F593" s="319"/>
      <c r="G593" s="319"/>
      <c r="H593" s="319"/>
      <c r="I593" s="319"/>
      <c r="J593" s="320"/>
      <c r="K593" s="318"/>
      <c r="L593" s="319"/>
      <c r="M593" s="319"/>
      <c r="N593" s="319"/>
      <c r="O593" s="318"/>
      <c r="P593" s="321"/>
      <c r="Q593" s="319"/>
      <c r="R593" s="322"/>
      <c r="S593" s="15"/>
      <c r="T593" s="15"/>
      <c r="U593" s="15"/>
      <c r="V593" s="15"/>
    </row>
    <row r="594" spans="1:22">
      <c r="A594" s="253"/>
      <c r="B594" s="234"/>
      <c r="C594" s="249"/>
      <c r="D594" s="250"/>
      <c r="E594" s="250"/>
      <c r="F594" s="250"/>
      <c r="G594" s="250"/>
      <c r="H594" s="250"/>
      <c r="I594" s="250"/>
      <c r="J594" s="251"/>
      <c r="K594" s="249"/>
      <c r="L594" s="250"/>
      <c r="M594" s="250"/>
      <c r="N594" s="250"/>
      <c r="O594" s="249"/>
      <c r="P594" s="249"/>
      <c r="Q594" s="250"/>
      <c r="R594" s="252"/>
      <c r="S594" s="15"/>
      <c r="T594" s="15"/>
      <c r="U594" s="15"/>
      <c r="V594" s="15"/>
    </row>
    <row r="595" spans="1:22">
      <c r="A595" s="253"/>
      <c r="B595" s="254"/>
      <c r="C595" s="255"/>
      <c r="D595" s="256"/>
      <c r="E595" s="256"/>
      <c r="F595" s="256"/>
      <c r="G595" s="256"/>
      <c r="H595" s="256"/>
      <c r="I595" s="256"/>
      <c r="J595" s="257"/>
      <c r="K595" s="255"/>
      <c r="L595" s="256"/>
      <c r="M595" s="256"/>
      <c r="N595" s="256"/>
      <c r="O595" s="255"/>
      <c r="P595" s="255"/>
      <c r="Q595" s="256"/>
      <c r="R595" s="258"/>
      <c r="S595" s="15"/>
      <c r="T595" s="15"/>
      <c r="U595" s="15"/>
      <c r="V595" s="15"/>
    </row>
    <row r="596" spans="1:22">
      <c r="A596" s="253"/>
      <c r="B596" s="317"/>
      <c r="C596" s="318"/>
      <c r="D596" s="319"/>
      <c r="E596" s="319"/>
      <c r="F596" s="319"/>
      <c r="G596" s="319"/>
      <c r="H596" s="319"/>
      <c r="I596" s="319"/>
      <c r="J596" s="320"/>
      <c r="K596" s="318"/>
      <c r="L596" s="319"/>
      <c r="M596" s="319"/>
      <c r="N596" s="319"/>
      <c r="O596" s="318"/>
      <c r="P596" s="321"/>
      <c r="Q596" s="319"/>
      <c r="R596" s="322"/>
      <c r="S596" s="15"/>
      <c r="T596" s="15"/>
      <c r="U596" s="15"/>
      <c r="V596" s="15"/>
    </row>
    <row r="597" spans="1:22">
      <c r="A597" s="253"/>
      <c r="B597" s="234"/>
      <c r="C597" s="249"/>
      <c r="D597" s="250"/>
      <c r="E597" s="250"/>
      <c r="F597" s="250"/>
      <c r="G597" s="250"/>
      <c r="H597" s="250"/>
      <c r="I597" s="250"/>
      <c r="J597" s="251"/>
      <c r="K597" s="249"/>
      <c r="L597" s="250"/>
      <c r="M597" s="250"/>
      <c r="N597" s="250"/>
      <c r="O597" s="249"/>
      <c r="P597" s="249"/>
      <c r="Q597" s="250"/>
      <c r="R597" s="252"/>
      <c r="S597" s="15"/>
      <c r="T597" s="15"/>
      <c r="U597" s="15"/>
      <c r="V597" s="15"/>
    </row>
    <row r="598" spans="1:22">
      <c r="A598" s="253"/>
      <c r="B598" s="254"/>
      <c r="C598" s="255"/>
      <c r="D598" s="256"/>
      <c r="E598" s="256"/>
      <c r="F598" s="256"/>
      <c r="G598" s="256"/>
      <c r="H598" s="256"/>
      <c r="I598" s="256"/>
      <c r="J598" s="257"/>
      <c r="K598" s="255"/>
      <c r="L598" s="256"/>
      <c r="M598" s="256"/>
      <c r="N598" s="256"/>
      <c r="O598" s="255"/>
      <c r="P598" s="255"/>
      <c r="Q598" s="256"/>
      <c r="R598" s="258"/>
      <c r="S598" s="15"/>
      <c r="T598" s="15"/>
      <c r="U598" s="15"/>
      <c r="V598" s="15"/>
    </row>
    <row r="599" spans="1:22">
      <c r="A599" s="253"/>
      <c r="B599" s="317"/>
      <c r="C599" s="318"/>
      <c r="D599" s="319"/>
      <c r="E599" s="319"/>
      <c r="F599" s="319"/>
      <c r="G599" s="319"/>
      <c r="H599" s="319"/>
      <c r="I599" s="319"/>
      <c r="J599" s="320"/>
      <c r="K599" s="318"/>
      <c r="L599" s="319"/>
      <c r="M599" s="319"/>
      <c r="N599" s="319"/>
      <c r="O599" s="318"/>
      <c r="P599" s="321"/>
      <c r="Q599" s="319"/>
      <c r="R599" s="322"/>
      <c r="S599" s="15"/>
      <c r="T599" s="15"/>
      <c r="U599" s="15"/>
      <c r="V599" s="15"/>
    </row>
    <row r="600" spans="1:22">
      <c r="A600" s="253"/>
      <c r="B600" s="234"/>
      <c r="C600" s="249"/>
      <c r="D600" s="250"/>
      <c r="E600" s="250"/>
      <c r="F600" s="250"/>
      <c r="G600" s="250"/>
      <c r="H600" s="250"/>
      <c r="I600" s="250"/>
      <c r="J600" s="251"/>
      <c r="K600" s="249"/>
      <c r="L600" s="250"/>
      <c r="M600" s="250"/>
      <c r="N600" s="250"/>
      <c r="O600" s="249"/>
      <c r="P600" s="249"/>
      <c r="Q600" s="250"/>
      <c r="R600" s="252"/>
      <c r="S600" s="15"/>
      <c r="T600" s="15"/>
      <c r="U600" s="15"/>
      <c r="V600" s="15"/>
    </row>
    <row r="601" spans="1:22">
      <c r="A601" s="253"/>
      <c r="B601" s="254"/>
      <c r="C601" s="255"/>
      <c r="D601" s="256"/>
      <c r="E601" s="256"/>
      <c r="F601" s="256"/>
      <c r="G601" s="256"/>
      <c r="H601" s="256"/>
      <c r="I601" s="256"/>
      <c r="J601" s="257"/>
      <c r="K601" s="255"/>
      <c r="L601" s="256"/>
      <c r="M601" s="256"/>
      <c r="N601" s="256"/>
      <c r="O601" s="255"/>
      <c r="P601" s="255"/>
      <c r="Q601" s="256"/>
      <c r="R601" s="258"/>
      <c r="S601" s="15"/>
      <c r="T601" s="15"/>
      <c r="U601" s="15"/>
      <c r="V601" s="15"/>
    </row>
    <row r="602" spans="1:22">
      <c r="A602" s="253"/>
      <c r="B602" s="317"/>
      <c r="C602" s="318"/>
      <c r="D602" s="319"/>
      <c r="E602" s="319"/>
      <c r="F602" s="319"/>
      <c r="G602" s="319"/>
      <c r="H602" s="319"/>
      <c r="I602" s="319"/>
      <c r="J602" s="320"/>
      <c r="K602" s="318"/>
      <c r="L602" s="319"/>
      <c r="M602" s="319"/>
      <c r="N602" s="319"/>
      <c r="O602" s="318"/>
      <c r="P602" s="321"/>
      <c r="Q602" s="319"/>
      <c r="R602" s="322"/>
      <c r="S602" s="15"/>
      <c r="T602" s="15"/>
      <c r="U602" s="15"/>
      <c r="V602" s="15"/>
    </row>
    <row r="603" spans="1:22">
      <c r="A603" s="253"/>
      <c r="B603" s="234"/>
      <c r="C603" s="249"/>
      <c r="D603" s="250"/>
      <c r="E603" s="250"/>
      <c r="F603" s="250"/>
      <c r="G603" s="250"/>
      <c r="H603" s="250"/>
      <c r="I603" s="250"/>
      <c r="J603" s="251"/>
      <c r="K603" s="249"/>
      <c r="L603" s="250"/>
      <c r="M603" s="250"/>
      <c r="N603" s="250"/>
      <c r="O603" s="249"/>
      <c r="P603" s="249"/>
      <c r="Q603" s="250"/>
      <c r="R603" s="252"/>
      <c r="S603" s="15"/>
      <c r="T603" s="15"/>
      <c r="U603" s="15"/>
      <c r="V603" s="15"/>
    </row>
    <row r="604" spans="1:22">
      <c r="A604" s="253"/>
      <c r="B604" s="254"/>
      <c r="C604" s="255"/>
      <c r="D604" s="256"/>
      <c r="E604" s="256"/>
      <c r="F604" s="256"/>
      <c r="G604" s="256"/>
      <c r="H604" s="256"/>
      <c r="I604" s="256"/>
      <c r="J604" s="257"/>
      <c r="K604" s="255"/>
      <c r="L604" s="256"/>
      <c r="M604" s="256"/>
      <c r="N604" s="256"/>
      <c r="O604" s="255"/>
      <c r="P604" s="255"/>
      <c r="Q604" s="256"/>
      <c r="R604" s="258"/>
      <c r="S604" s="15"/>
      <c r="T604" s="15"/>
      <c r="U604" s="15"/>
      <c r="V604" s="15"/>
    </row>
    <row r="605" spans="1:22">
      <c r="A605" s="253"/>
      <c r="B605" s="317"/>
      <c r="C605" s="318"/>
      <c r="D605" s="319"/>
      <c r="E605" s="319"/>
      <c r="F605" s="319"/>
      <c r="G605" s="319"/>
      <c r="H605" s="319"/>
      <c r="I605" s="319"/>
      <c r="J605" s="320"/>
      <c r="K605" s="318"/>
      <c r="L605" s="319"/>
      <c r="M605" s="319"/>
      <c r="N605" s="319"/>
      <c r="O605" s="318"/>
      <c r="P605" s="321"/>
      <c r="Q605" s="319"/>
      <c r="R605" s="322"/>
      <c r="S605" s="15"/>
      <c r="T605" s="15"/>
      <c r="U605" s="15"/>
      <c r="V605" s="15"/>
    </row>
    <row r="606" spans="1:22">
      <c r="A606" s="253"/>
      <c r="B606" s="234"/>
      <c r="C606" s="249"/>
      <c r="D606" s="250"/>
      <c r="E606" s="250"/>
      <c r="F606" s="250"/>
      <c r="G606" s="250"/>
      <c r="H606" s="250"/>
      <c r="I606" s="250"/>
      <c r="J606" s="251"/>
      <c r="K606" s="249"/>
      <c r="L606" s="250"/>
      <c r="M606" s="250"/>
      <c r="N606" s="250"/>
      <c r="O606" s="249"/>
      <c r="P606" s="249"/>
      <c r="Q606" s="250"/>
      <c r="R606" s="252"/>
      <c r="S606" s="15"/>
      <c r="T606" s="15"/>
      <c r="U606" s="15"/>
      <c r="V606" s="15"/>
    </row>
    <row r="607" spans="1:22">
      <c r="A607" s="253"/>
      <c r="B607" s="254"/>
      <c r="C607" s="255"/>
      <c r="D607" s="256"/>
      <c r="E607" s="256"/>
      <c r="F607" s="256"/>
      <c r="G607" s="256"/>
      <c r="H607" s="256"/>
      <c r="I607" s="256"/>
      <c r="J607" s="257"/>
      <c r="K607" s="255"/>
      <c r="L607" s="256"/>
      <c r="M607" s="256"/>
      <c r="N607" s="256"/>
      <c r="O607" s="255"/>
      <c r="P607" s="255"/>
      <c r="Q607" s="256"/>
      <c r="R607" s="258"/>
      <c r="S607" s="15"/>
      <c r="T607" s="15"/>
      <c r="U607" s="15"/>
      <c r="V607" s="15"/>
    </row>
    <row r="608" spans="1:22">
      <c r="A608" s="253"/>
      <c r="B608" s="317"/>
      <c r="C608" s="318"/>
      <c r="D608" s="319"/>
      <c r="E608" s="319"/>
      <c r="F608" s="319"/>
      <c r="G608" s="319"/>
      <c r="H608" s="319"/>
      <c r="I608" s="319"/>
      <c r="J608" s="320"/>
      <c r="K608" s="318"/>
      <c r="L608" s="319"/>
      <c r="M608" s="319"/>
      <c r="N608" s="319"/>
      <c r="O608" s="318"/>
      <c r="P608" s="321"/>
      <c r="Q608" s="319"/>
      <c r="R608" s="322"/>
      <c r="S608" s="15"/>
      <c r="T608" s="15"/>
      <c r="U608" s="15"/>
      <c r="V608" s="15"/>
    </row>
    <row r="609" spans="1:22">
      <c r="A609" s="253"/>
      <c r="B609" s="234"/>
      <c r="C609" s="249"/>
      <c r="D609" s="250"/>
      <c r="E609" s="250"/>
      <c r="F609" s="250"/>
      <c r="G609" s="250"/>
      <c r="H609" s="250"/>
      <c r="I609" s="250"/>
      <c r="J609" s="251"/>
      <c r="K609" s="249"/>
      <c r="L609" s="250"/>
      <c r="M609" s="250"/>
      <c r="N609" s="250"/>
      <c r="O609" s="249"/>
      <c r="P609" s="249"/>
      <c r="Q609" s="250"/>
      <c r="R609" s="252"/>
      <c r="S609" s="15"/>
      <c r="T609" s="15"/>
      <c r="U609" s="15"/>
      <c r="V609" s="15"/>
    </row>
    <row r="610" spans="1:22">
      <c r="A610" s="253"/>
      <c r="B610" s="254"/>
      <c r="C610" s="255"/>
      <c r="D610" s="256"/>
      <c r="E610" s="256"/>
      <c r="F610" s="256"/>
      <c r="G610" s="256"/>
      <c r="H610" s="256"/>
      <c r="I610" s="256"/>
      <c r="J610" s="257"/>
      <c r="K610" s="255"/>
      <c r="L610" s="256"/>
      <c r="M610" s="256"/>
      <c r="N610" s="256"/>
      <c r="O610" s="255"/>
      <c r="P610" s="255"/>
      <c r="Q610" s="256"/>
      <c r="R610" s="258"/>
      <c r="S610" s="15"/>
      <c r="T610" s="15"/>
      <c r="U610" s="15"/>
      <c r="V610" s="15"/>
    </row>
    <row r="611" spans="1:22">
      <c r="A611" s="253"/>
      <c r="B611" s="317"/>
      <c r="C611" s="318"/>
      <c r="D611" s="319"/>
      <c r="E611" s="319"/>
      <c r="F611" s="319"/>
      <c r="G611" s="319"/>
      <c r="H611" s="319"/>
      <c r="I611" s="319"/>
      <c r="J611" s="320"/>
      <c r="K611" s="318"/>
      <c r="L611" s="319"/>
      <c r="M611" s="319"/>
      <c r="N611" s="319"/>
      <c r="O611" s="318"/>
      <c r="P611" s="321"/>
      <c r="Q611" s="319"/>
      <c r="R611" s="322"/>
      <c r="S611" s="15"/>
      <c r="T611" s="15"/>
      <c r="U611" s="15"/>
      <c r="V611" s="15"/>
    </row>
    <row r="612" spans="1:22">
      <c r="A612" s="253"/>
      <c r="B612" s="234"/>
      <c r="C612" s="249"/>
      <c r="D612" s="250"/>
      <c r="E612" s="250"/>
      <c r="F612" s="250"/>
      <c r="G612" s="250"/>
      <c r="H612" s="250"/>
      <c r="I612" s="250"/>
      <c r="J612" s="251"/>
      <c r="K612" s="249"/>
      <c r="L612" s="250"/>
      <c r="M612" s="250"/>
      <c r="N612" s="250"/>
      <c r="O612" s="249"/>
      <c r="P612" s="249"/>
      <c r="Q612" s="250"/>
      <c r="R612" s="252"/>
      <c r="S612" s="15"/>
      <c r="T612" s="15"/>
      <c r="U612" s="15"/>
      <c r="V612" s="15"/>
    </row>
    <row r="613" spans="1:22">
      <c r="A613" s="253"/>
      <c r="B613" s="254"/>
      <c r="C613" s="255"/>
      <c r="D613" s="256"/>
      <c r="E613" s="256"/>
      <c r="F613" s="256"/>
      <c r="G613" s="256"/>
      <c r="H613" s="256"/>
      <c r="I613" s="256"/>
      <c r="J613" s="257"/>
      <c r="K613" s="255"/>
      <c r="L613" s="256"/>
      <c r="M613" s="256"/>
      <c r="N613" s="256"/>
      <c r="O613" s="255"/>
      <c r="P613" s="255"/>
      <c r="Q613" s="256"/>
      <c r="R613" s="258"/>
      <c r="S613" s="15"/>
      <c r="T613" s="15"/>
      <c r="U613" s="15"/>
      <c r="V613" s="15"/>
    </row>
    <row r="614" spans="1:22">
      <c r="A614" s="253"/>
      <c r="B614" s="317"/>
      <c r="C614" s="318"/>
      <c r="D614" s="319"/>
      <c r="E614" s="319"/>
      <c r="F614" s="319"/>
      <c r="G614" s="319"/>
      <c r="H614" s="319"/>
      <c r="I614" s="319"/>
      <c r="J614" s="320"/>
      <c r="K614" s="318"/>
      <c r="L614" s="319"/>
      <c r="M614" s="319"/>
      <c r="N614" s="319"/>
      <c r="O614" s="318"/>
      <c r="P614" s="321"/>
      <c r="Q614" s="319"/>
      <c r="R614" s="322"/>
      <c r="S614" s="15"/>
      <c r="T614" s="15"/>
      <c r="U614" s="15"/>
      <c r="V614" s="15"/>
    </row>
    <row r="615" spans="1:22">
      <c r="A615" s="253"/>
      <c r="B615" s="234"/>
      <c r="C615" s="249"/>
      <c r="D615" s="250"/>
      <c r="E615" s="250"/>
      <c r="F615" s="250"/>
      <c r="G615" s="250"/>
      <c r="H615" s="250"/>
      <c r="I615" s="250"/>
      <c r="J615" s="251"/>
      <c r="K615" s="249"/>
      <c r="L615" s="250"/>
      <c r="M615" s="250"/>
      <c r="N615" s="250"/>
      <c r="O615" s="249"/>
      <c r="P615" s="249"/>
      <c r="Q615" s="250"/>
      <c r="R615" s="252"/>
      <c r="S615" s="15"/>
      <c r="T615" s="15"/>
      <c r="U615" s="15"/>
      <c r="V615" s="15"/>
    </row>
    <row r="616" spans="1:22">
      <c r="A616" s="253"/>
      <c r="B616" s="254"/>
      <c r="C616" s="255"/>
      <c r="D616" s="256"/>
      <c r="E616" s="256"/>
      <c r="F616" s="256"/>
      <c r="G616" s="256"/>
      <c r="H616" s="256"/>
      <c r="I616" s="256"/>
      <c r="J616" s="257"/>
      <c r="K616" s="255"/>
      <c r="L616" s="256"/>
      <c r="M616" s="256"/>
      <c r="N616" s="256"/>
      <c r="O616" s="255"/>
      <c r="P616" s="255"/>
      <c r="Q616" s="256"/>
      <c r="R616" s="258"/>
      <c r="S616" s="15"/>
      <c r="T616" s="15"/>
      <c r="U616" s="15"/>
      <c r="V616" s="15"/>
    </row>
    <row r="617" spans="1:22">
      <c r="A617" s="260"/>
      <c r="B617" s="317"/>
      <c r="C617" s="318"/>
      <c r="D617" s="319"/>
      <c r="E617" s="319"/>
      <c r="F617" s="319"/>
      <c r="G617" s="319"/>
      <c r="H617" s="319"/>
      <c r="I617" s="319"/>
      <c r="J617" s="320"/>
      <c r="K617" s="318"/>
      <c r="L617" s="319"/>
      <c r="M617" s="319"/>
      <c r="N617" s="319"/>
      <c r="O617" s="318"/>
      <c r="P617" s="321"/>
      <c r="Q617" s="319"/>
      <c r="R617" s="322"/>
      <c r="S617" s="15"/>
      <c r="T617" s="15"/>
      <c r="U617" s="15"/>
      <c r="V617" s="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H83"/>
  <sheetViews>
    <sheetView workbookViewId="0">
      <selection activeCell="E32" sqref="E32"/>
    </sheetView>
  </sheetViews>
  <sheetFormatPr defaultRowHeight="15"/>
  <cols>
    <col min="1" max="1" width="20.85546875" customWidth="1"/>
    <col min="2" max="2" width="11.7109375" customWidth="1"/>
    <col min="3" max="3" width="11.42578125" customWidth="1"/>
    <col min="4" max="6" width="10.85546875" customWidth="1"/>
    <col min="7" max="7" width="11.140625" customWidth="1"/>
    <col min="8" max="8" width="10.85546875" customWidth="1"/>
    <col min="9" max="9" width="11.140625" customWidth="1"/>
    <col min="10" max="10" width="9.5703125" customWidth="1"/>
    <col min="11" max="11" width="9.28515625" customWidth="1"/>
    <col min="12" max="12" width="9.7109375" customWidth="1"/>
    <col min="13" max="13" width="9.85546875" customWidth="1"/>
    <col min="14" max="14" width="9.5703125" bestFit="1" customWidth="1"/>
    <col min="15" max="15" width="9.7109375" customWidth="1"/>
    <col min="16" max="16" width="12.28515625" customWidth="1"/>
    <col min="17" max="17" width="12.140625" customWidth="1"/>
    <col min="18" max="19" width="11.28515625" customWidth="1"/>
    <col min="20" max="20" width="11.5703125" customWidth="1"/>
    <col min="21" max="21" width="12.85546875" customWidth="1"/>
    <col min="22" max="22" width="11.140625" customWidth="1"/>
    <col min="23" max="23" width="11" customWidth="1"/>
    <col min="24" max="24" width="10.42578125" customWidth="1"/>
    <col min="25" max="25" width="9.85546875" customWidth="1"/>
    <col min="26" max="26" width="13.28515625" customWidth="1"/>
    <col min="27" max="27" width="13.7109375" customWidth="1"/>
    <col min="28" max="28" width="10.85546875" customWidth="1"/>
    <col min="29" max="29" width="11.7109375" customWidth="1"/>
    <col min="30" max="30" width="11.28515625" customWidth="1"/>
    <col min="31" max="31" width="12.7109375" customWidth="1"/>
    <col min="32" max="32" width="10.85546875" customWidth="1"/>
    <col min="33" max="33" width="12.28515625" customWidth="1"/>
  </cols>
  <sheetData>
    <row r="1" spans="1:34">
      <c r="A1" s="34" t="s">
        <v>227</v>
      </c>
    </row>
    <row r="2" spans="1:34">
      <c r="B2" s="181" t="s">
        <v>228</v>
      </c>
      <c r="C2" s="182"/>
      <c r="D2" s="182"/>
      <c r="E2" s="182"/>
      <c r="F2" s="182"/>
      <c r="G2" s="182"/>
      <c r="H2" s="182"/>
      <c r="I2" s="182"/>
      <c r="J2" s="182"/>
      <c r="K2" s="182"/>
      <c r="L2" s="182"/>
      <c r="M2" s="182"/>
      <c r="N2" s="182"/>
      <c r="O2" s="182"/>
      <c r="P2" s="182"/>
      <c r="Q2" s="183"/>
      <c r="R2" s="184" t="s">
        <v>229</v>
      </c>
      <c r="S2" s="185"/>
      <c r="T2" s="185"/>
      <c r="U2" s="185"/>
      <c r="V2" s="185"/>
      <c r="W2" s="185"/>
      <c r="X2" s="185"/>
      <c r="Y2" s="185"/>
      <c r="Z2" s="185"/>
      <c r="AA2" s="186"/>
      <c r="AB2" s="187" t="s">
        <v>230</v>
      </c>
      <c r="AC2" s="188"/>
      <c r="AD2" s="188"/>
      <c r="AE2" s="188"/>
      <c r="AF2" s="188"/>
      <c r="AG2" s="188"/>
    </row>
    <row r="3" spans="1:34">
      <c r="B3" s="189">
        <v>1</v>
      </c>
      <c r="C3" s="190"/>
      <c r="D3" s="189">
        <v>2</v>
      </c>
      <c r="E3" s="190"/>
      <c r="F3" s="189">
        <v>3</v>
      </c>
      <c r="G3" s="190"/>
      <c r="H3" s="189">
        <v>4</v>
      </c>
      <c r="I3" s="190"/>
      <c r="J3" s="189">
        <v>5</v>
      </c>
      <c r="K3" s="190"/>
      <c r="L3" s="189">
        <v>6</v>
      </c>
      <c r="M3" s="190"/>
      <c r="N3" s="189">
        <v>15</v>
      </c>
      <c r="O3" s="190"/>
      <c r="P3" s="189" t="s">
        <v>231</v>
      </c>
      <c r="Q3" s="191"/>
      <c r="R3" s="192">
        <v>7</v>
      </c>
      <c r="S3" s="193"/>
      <c r="T3" s="192">
        <v>8</v>
      </c>
      <c r="U3" s="193"/>
      <c r="V3" s="192">
        <v>9</v>
      </c>
      <c r="W3" s="193"/>
      <c r="X3" s="192">
        <v>10</v>
      </c>
      <c r="Y3" s="193"/>
      <c r="Z3" s="192" t="s">
        <v>231</v>
      </c>
      <c r="AA3" s="193"/>
      <c r="AB3" s="194">
        <v>12</v>
      </c>
      <c r="AC3" s="195"/>
      <c r="AD3" s="194">
        <v>13</v>
      </c>
      <c r="AE3" s="195"/>
      <c r="AF3" s="194" t="s">
        <v>231</v>
      </c>
      <c r="AG3" s="195"/>
    </row>
    <row r="4" spans="1:34" s="323" customFormat="1">
      <c r="B4" s="324">
        <v>2009</v>
      </c>
      <c r="C4" s="325">
        <v>2010</v>
      </c>
      <c r="D4" s="324">
        <v>2009</v>
      </c>
      <c r="E4" s="325">
        <v>2010</v>
      </c>
      <c r="F4" s="324">
        <v>2009</v>
      </c>
      <c r="G4" s="325">
        <v>2010</v>
      </c>
      <c r="H4" s="324">
        <v>2009</v>
      </c>
      <c r="I4" s="325">
        <v>2010</v>
      </c>
      <c r="J4" s="324">
        <v>2009</v>
      </c>
      <c r="K4" s="325">
        <v>2010</v>
      </c>
      <c r="L4" s="324">
        <v>2009</v>
      </c>
      <c r="M4" s="325">
        <v>2010</v>
      </c>
      <c r="N4" s="324">
        <v>2009</v>
      </c>
      <c r="O4" s="325">
        <v>2010</v>
      </c>
      <c r="P4" s="324">
        <v>2009</v>
      </c>
      <c r="Q4" s="325">
        <v>2010</v>
      </c>
      <c r="R4" s="326">
        <v>2009</v>
      </c>
      <c r="S4" s="327">
        <v>2010</v>
      </c>
      <c r="T4" s="326">
        <v>2009</v>
      </c>
      <c r="U4" s="327">
        <v>2010</v>
      </c>
      <c r="V4" s="326">
        <v>2009</v>
      </c>
      <c r="W4" s="327">
        <v>2010</v>
      </c>
      <c r="X4" s="326">
        <v>2009</v>
      </c>
      <c r="Y4" s="327">
        <v>2010</v>
      </c>
      <c r="Z4" s="326">
        <v>2009</v>
      </c>
      <c r="AA4" s="327">
        <v>2010</v>
      </c>
      <c r="AB4" s="328">
        <v>2009</v>
      </c>
      <c r="AC4" s="329">
        <v>2010</v>
      </c>
      <c r="AD4" s="328">
        <v>2009</v>
      </c>
      <c r="AE4" s="329">
        <v>2010</v>
      </c>
      <c r="AF4" s="328">
        <v>2009</v>
      </c>
      <c r="AG4" s="329">
        <v>2010</v>
      </c>
      <c r="AH4" s="330"/>
    </row>
    <row r="5" spans="1:34">
      <c r="A5" s="196" t="s">
        <v>175</v>
      </c>
      <c r="B5" s="197">
        <f>GETPIVOTDATA("Sum of OLD-Tot UG SCH Calc",'Pivot Table for Fact Book'!$A$3,"State","AL","type",1,"Type2","Four-Year")</f>
        <v>1500763</v>
      </c>
      <c r="C5" s="198">
        <f>GETPIVOTDATA("Sum of NEW-Tot UG SCH Calc",'Pivot Table for Fact Book'!$A$3,"State","AL","type",1,"Type2","Four-Year")</f>
        <v>1549762</v>
      </c>
      <c r="D5" s="197">
        <f>GETPIVOTDATA("Sum of OLD-Tot UG SCH Calc",'Pivot Table for Fact Book'!$A$3,"State","AL","type",2,"Type2","Four-Year")</f>
        <v>157888</v>
      </c>
      <c r="E5" s="198">
        <f>GETPIVOTDATA("Sum of NEW-Tot UG SCH Calc",'Pivot Table for Fact Book'!$A$3,"State","AL","type",2,"Type2","Four-Year")</f>
        <v>161061</v>
      </c>
      <c r="F5" s="197">
        <f>GETPIVOTDATA("Sum of OLD-Tot UG SCH Calc",'Pivot Table for Fact Book'!$A$3,"State","AL","type",3,"Type2","Four-Year")</f>
        <v>931035</v>
      </c>
      <c r="G5" s="198">
        <f>GETPIVOTDATA("Sum of NEW-Tot UG SCH Calc",'Pivot Table for Fact Book'!$A$3,"State","AL","type",3,"Type2","Four-Year")</f>
        <v>961969</v>
      </c>
      <c r="H5" s="197">
        <f>GETPIVOTDATA("Sum of OLD-Tot UG SCH Calc",'Pivot Table for Fact Book'!$A$3,"State","AL","type",4,"Type2","Four-Year")</f>
        <v>413035</v>
      </c>
      <c r="I5" s="198">
        <f>GETPIVOTDATA("Sum of NEW-Tot UG SCH Calc",'Pivot Table for Fact Book'!$A$3,"State","AL","type",4,"Type2","Four-Year")</f>
        <v>441638</v>
      </c>
      <c r="J5" s="197">
        <f>GETPIVOTDATA("Sum of OLD-Tot UG SCH Calc",'Pivot Table for Fact Book'!$A$3,"State","AL","type",5,"Type2","Four-Year")</f>
        <v>125551</v>
      </c>
      <c r="K5" s="198">
        <f>GETPIVOTDATA("Sum of NEW-Tot UG SCH Calc",'Pivot Table for Fact Book'!$A$3,"State","AL","type",5,"Type2","Four-Year")</f>
        <v>123346</v>
      </c>
      <c r="L5" s="197">
        <f>GETPIVOTDATA("Sum of OLD-Tot UG SCH Calc",'Pivot Table for Fact Book'!$A$3,"State","AL","type",6,"Type2","Four-Year")</f>
        <v>83699</v>
      </c>
      <c r="M5" s="198">
        <f>GETPIVOTDATA("Sum of NEW-Tot UG SCH Calc",'Pivot Table for Fact Book'!$A$3,"State","AL","type",6,"Type2","Four-Year")</f>
        <v>89190</v>
      </c>
      <c r="N5" s="197">
        <f>GETPIVOTDATA("Sum of OLD-Tot UG SCH Calc",'Pivot Table for Fact Book'!$A$3,"State","AL","type",15,"Type2","Four-Year")</f>
        <v>0</v>
      </c>
      <c r="O5" s="198">
        <f>GETPIVOTDATA("Sum of NEW-Tot UG SCH Calc",'Pivot Table for Fact Book'!$A$3,"State","AL","type",15,"Type2","Four-Year")</f>
        <v>0</v>
      </c>
      <c r="P5" s="199">
        <f>GETPIVOTDATA("Sum of OLD-Tot UG SCH Calc",'Pivot Table for Fact Book'!$A$3,"State","AL","Type2","Four-Year")</f>
        <v>3211971</v>
      </c>
      <c r="Q5" s="199">
        <f>GETPIVOTDATA("Sum of NEW-Tot UG SCH Calc",'Pivot Table for Fact Book'!$A$3,"State","AL","Type2","Four-Year")</f>
        <v>3326966</v>
      </c>
      <c r="R5" s="197">
        <f>GETPIVOTDATA("Sum of OLD-Tot UG SCH Calc",'Pivot Table for Fact Book'!$A$3,"State","AL","type",7,"Type2","Two-Year")</f>
        <v>0</v>
      </c>
      <c r="S5" s="200">
        <f>GETPIVOTDATA("Sum of NEW-Tot UG SCH Calc",'Pivot Table for Fact Book'!$A$3,"State","AL","type",7,"Type2","Two-Year")</f>
        <v>0</v>
      </c>
      <c r="T5" s="200">
        <f>GETPIVOTDATA("Sum of OLD-Tot UG SCH Calc",'Pivot Table for Fact Book'!$A$3,"State","AL","type",8,"Type2","Two-Year")</f>
        <v>399930</v>
      </c>
      <c r="U5" s="200">
        <f>GETPIVOTDATA("Sum of NEW-Tot UG SCH Calc",'Pivot Table for Fact Book'!$A$3,"State","AL","type",8,"Type2","Two-Year")</f>
        <v>460895</v>
      </c>
      <c r="V5" s="200">
        <f>GETPIVOTDATA("Sum of OLD-Tot UG SCH Calc",'Pivot Table for Fact Book'!$A$3,"State","AL","type",9,"Type2","Two-Year")</f>
        <v>1280880</v>
      </c>
      <c r="W5" s="200">
        <f>GETPIVOTDATA("Sum of NEW-Tot UG SCH Calc",'Pivot Table for Fact Book'!$A$3,"State","AL","type",9,"Type2","Two-Year")</f>
        <v>1409891</v>
      </c>
      <c r="X5" s="200">
        <f>GETPIVOTDATA("Sum of OLD-Tot UG SCH Calc",'Pivot Table for Fact Book'!$A$3,"State","AL","type",10,"Type2","Two-Year")</f>
        <v>405652</v>
      </c>
      <c r="Y5" s="200">
        <f>GETPIVOTDATA("Sum of NEW-Tot UG SCH Calc",'Pivot Table for Fact Book'!$A$3,"State","AL","type",10,"Type2","Two-Year")</f>
        <v>442718</v>
      </c>
      <c r="Z5" s="201">
        <f>GETPIVOTDATA("Sum of OLD-Tot UG SCH Calc",'Pivot Table for Fact Book'!$A$3,"State","AL","Type2","Two-Year")</f>
        <v>2086462</v>
      </c>
      <c r="AA5" s="201">
        <f>GETPIVOTDATA("Sum of NEW-Tot UG SCH Calc",'Pivot Table for Fact Book'!$A$3,"State","AL","Type2","Two-Year")</f>
        <v>2313504</v>
      </c>
      <c r="AB5" s="197">
        <f>GETPIVOTDATA("Sum of OLD-Tot UG SCH Calc",'Pivot Table for Fact Book'!$A$3,"State","AL","type",12,"Type2","Technical")</f>
        <v>44426</v>
      </c>
      <c r="AC5" s="200">
        <f>GETPIVOTDATA("Sum of NEW-Tot UG SCH Calc",'Pivot Table for Fact Book'!$A$3,"State","AL","type",12,"Type2","Technical")</f>
        <v>49717</v>
      </c>
      <c r="AD5" s="197">
        <f>GETPIVOTDATA("Sum of OLD-Tot UG SCH Calc",'Pivot Table for Fact Book'!$A$3,"State","AL","type",13,"Type2","Technical")</f>
        <v>20285</v>
      </c>
      <c r="AE5" s="200">
        <f>GETPIVOTDATA("Sum of NEW-Tot UG SCH Calc",'Pivot Table for Fact Book'!$A$3,"State","AL","type",13,"Type2","Technical")</f>
        <v>79335</v>
      </c>
      <c r="AF5" s="202">
        <f>GETPIVOTDATA("Sum of OLD-Tot UG SCH Calc",'Pivot Table for Fact Book'!$A$3,"State","AL","Type2","Technical")</f>
        <v>64711</v>
      </c>
      <c r="AG5" s="203">
        <f>GETPIVOTDATA("Sum of NEW-Tot UG SCH Calc",'Pivot Table for Fact Book'!$A$3,"State","AL","Type2","Technical")</f>
        <v>129052</v>
      </c>
      <c r="AH5" s="14"/>
    </row>
    <row r="6" spans="1:34">
      <c r="A6" s="196" t="s">
        <v>176</v>
      </c>
      <c r="B6" s="197">
        <f>GETPIVOTDATA("Sum of OLD-Tot UG SCH Calc",'Pivot Table for Fact Book'!$A$3,"State","AR","type",1,"Type2","Four-Year")</f>
        <v>440897</v>
      </c>
      <c r="C6" s="198">
        <f>GETPIVOTDATA("Sum of NEW-Tot UG SCH Calc",'Pivot Table for Fact Book'!$A$3,"State","AR","type",1,"Type2","Four-Year")</f>
        <v>473313</v>
      </c>
      <c r="D6" s="197">
        <f>GETPIVOTDATA("Sum of OLD-Tot UG SCH Calc",'Pivot Table for Fact Book'!$A$3,"State","AR","type",2,"Type2","Four-Year")</f>
        <v>0</v>
      </c>
      <c r="E6" s="198">
        <f>GETPIVOTDATA("Sum of NEW-Tot UG SCH Calc",'Pivot Table for Fact Book'!$A$3,"State","AR","type",2,"Type2","Four-Year")</f>
        <v>0</v>
      </c>
      <c r="F6" s="197">
        <f>GETPIVOTDATA("Sum of OLD-Tot UG SCH Calc",'Pivot Table for Fact Book'!$A$3,"State","AR","type",3,"Type2","Four-Year")</f>
        <v>774318</v>
      </c>
      <c r="G6" s="198">
        <f>GETPIVOTDATA("Sum of NEW-Tot UG SCH Calc",'Pivot Table for Fact Book'!$A$3,"State","AR","type",3,"Type2","Four-Year")</f>
        <v>778618</v>
      </c>
      <c r="H6" s="197">
        <f>GETPIVOTDATA("Sum of OLD-Tot UG SCH Calc",'Pivot Table for Fact Book'!$A$3,"State","AR","type",4,"Type2","Four-Year")</f>
        <v>275738</v>
      </c>
      <c r="I6" s="198">
        <f>GETPIVOTDATA("Sum of NEW-Tot UG SCH Calc",'Pivot Table for Fact Book'!$A$3,"State","AR","type",4,"Type2","Four-Year")</f>
        <v>302019</v>
      </c>
      <c r="J6" s="197">
        <f>GETPIVOTDATA("Sum of OLD-Tot UG SCH Calc",'Pivot Table for Fact Book'!$A$3,"State","AR","type",5,"Type2","Four-Year")</f>
        <v>143643</v>
      </c>
      <c r="K6" s="198">
        <f>GETPIVOTDATA("Sum of NEW-Tot UG SCH Calc",'Pivot Table for Fact Book'!$A$3,"State","AR","type",5,"Type2","Four-Year")</f>
        <v>152533</v>
      </c>
      <c r="L6" s="197">
        <f>GETPIVOTDATA("Sum of OLD-Tot UG SCH Calc",'Pivot Table for Fact Book'!$A$3,"State","AR","type",6,"Type2","Four-Year")</f>
        <v>273473</v>
      </c>
      <c r="M6" s="198">
        <f>GETPIVOTDATA("Sum of NEW-Tot UG SCH Calc",'Pivot Table for Fact Book'!$A$3,"State","AR","type",6,"Type2","Four-Year")</f>
        <v>284271</v>
      </c>
      <c r="N6" s="197">
        <f>GETPIVOTDATA("Sum of OLD-Tot UG SCH Calc",'Pivot Table for Fact Book'!$A$3,"State","AR","type",15,"Type2","Four-Year")</f>
        <v>0</v>
      </c>
      <c r="O6" s="198">
        <f>GETPIVOTDATA("Sum of NEW-Tot UG SCH Calc",'Pivot Table for Fact Book'!$A$3,"State","AR","type",15,"Type2","Four-Year")</f>
        <v>0</v>
      </c>
      <c r="P6" s="199">
        <f>GETPIVOTDATA("Sum of OLD-Tot UG SCH Calc",'Pivot Table for Fact Book'!$A$3,"State","AR","Type2","Four-Year")</f>
        <v>1908069</v>
      </c>
      <c r="Q6" s="199">
        <f>GETPIVOTDATA("Sum of NEW-Tot UG SCH Calc",'Pivot Table for Fact Book'!$A$3,"State","AR","Type2","Four-Year")</f>
        <v>1990754</v>
      </c>
      <c r="R6" s="197">
        <f>GETPIVOTDATA("Sum of OLD-Tot UG SCH Calc",'Pivot Table for Fact Book'!$A$3,"State","AR","type",7,"Type2","Two-Year")</f>
        <v>0</v>
      </c>
      <c r="S6" s="200">
        <f>GETPIVOTDATA("Sum of NEW-Tot UG SCH Calc",'Pivot Table for Fact Book'!$A$3,"State","AR","type",7,"Type2","Two-Year")</f>
        <v>0</v>
      </c>
      <c r="T6" s="200">
        <f>GETPIVOTDATA("Sum of OLD-Tot UG SCH Calc",'Pivot Table for Fact Book'!$A$3,"State","AR","type",8,"Type2","Two-Year")</f>
        <v>212397</v>
      </c>
      <c r="U6" s="200">
        <f>GETPIVOTDATA("Sum of NEW-Tot UG SCH Calc",'Pivot Table for Fact Book'!$A$3,"State","AR","type",8,"Type2","Two-Year")</f>
        <v>246096</v>
      </c>
      <c r="V6" s="200">
        <f>GETPIVOTDATA("Sum of OLD-Tot UG SCH Calc",'Pivot Table for Fact Book'!$A$3,"State","AR","type",9,"Type2","Two-Year")</f>
        <v>325761</v>
      </c>
      <c r="W6" s="200">
        <f>GETPIVOTDATA("Sum of NEW-Tot UG SCH Calc",'Pivot Table for Fact Book'!$A$3,"State","AR","type",9,"Type2","Two-Year")</f>
        <v>364143</v>
      </c>
      <c r="X6" s="200">
        <f>GETPIVOTDATA("Sum of OLD-Tot UG SCH Calc",'Pivot Table for Fact Book'!$A$3,"State","AR","type",10,"Type2","Two-Year")</f>
        <v>681617</v>
      </c>
      <c r="Y6" s="200">
        <f>GETPIVOTDATA("Sum of NEW-Tot UG SCH Calc",'Pivot Table for Fact Book'!$A$3,"State","AR","type",10,"Type2","Two-Year")</f>
        <v>743120</v>
      </c>
      <c r="Z6" s="201">
        <f>GETPIVOTDATA("Sum of OLD-Tot UG SCH Calc",'Pivot Table for Fact Book'!$A$3,"State","AR","Type2","Two-Year")</f>
        <v>1219775</v>
      </c>
      <c r="AA6" s="201">
        <f>GETPIVOTDATA("Sum of NEW-Tot UG SCH Calc",'Pivot Table for Fact Book'!$A$3,"State","AR","Type2","Two-Year")</f>
        <v>1353359</v>
      </c>
      <c r="AB6" s="197">
        <f>GETPIVOTDATA("Sum of OLD-Tot UG SCH Calc",'Pivot Table for Fact Book'!$A$3,"State","AR","type",12,"Type2","Technical")</f>
        <v>0</v>
      </c>
      <c r="AC6" s="200">
        <f>GETPIVOTDATA("Sum of NEW-Tot UG SCH Calc",'Pivot Table for Fact Book'!$A$3,"State","AR","type",12,"Type2","Technical")</f>
        <v>0</v>
      </c>
      <c r="AD6" s="197">
        <f>GETPIVOTDATA("Sum of OLD-Tot UG SCH Calc",'Pivot Table for Fact Book'!$A$3,"State","AR","type",13,"Type2","Technical")</f>
        <v>0</v>
      </c>
      <c r="AE6" s="200">
        <f>GETPIVOTDATA("Sum of NEW-Tot UG SCH Calc",'Pivot Table for Fact Book'!$A$3,"State","AR","type",13,"Type2","Technical")</f>
        <v>0</v>
      </c>
      <c r="AF6" s="202">
        <f>GETPIVOTDATA("Sum of OLD-Tot UG SCH Calc",'Pivot Table for Fact Book'!$A$3,"State","AR","Type2","Technical")</f>
        <v>0</v>
      </c>
      <c r="AG6" s="203">
        <f>GETPIVOTDATA("Sum of NEW-Tot UG SCH Calc",'Pivot Table for Fact Book'!$A$3,"State","AR","Type2","Technical")</f>
        <v>0</v>
      </c>
      <c r="AH6" s="14"/>
    </row>
    <row r="7" spans="1:34">
      <c r="A7" s="196" t="s">
        <v>177</v>
      </c>
      <c r="B7" s="197">
        <f>GETPIVOTDATA("Sum of OLD-Tot UG SCH Calc",'Pivot Table for Fact Book'!$A$3,"State","DE","type",1,"Type2","Four-Year")</f>
        <v>0</v>
      </c>
      <c r="C7" s="198">
        <f>GETPIVOTDATA("Sum of NEW-Tot UG SCH Calc",'Pivot Table for Fact Book'!$A$3,"State","DE","type",1,"Type2","Four-Year")</f>
        <v>0</v>
      </c>
      <c r="D7" s="197">
        <f>GETPIVOTDATA("Sum of OLD-Tot UG SCH Calc",'Pivot Table for Fact Book'!$A$3,"State","DE","type",2,"Type2","Four-Year")</f>
        <v>0</v>
      </c>
      <c r="E7" s="198">
        <f>GETPIVOTDATA("Sum of NEW-Tot UG SCH Calc",'Pivot Table for Fact Book'!$A$3,"State","DE","type",2,"Type2","Four-Year")</f>
        <v>0</v>
      </c>
      <c r="F7" s="197">
        <f>GETPIVOTDATA("Sum of OLD-Tot UG SCH Calc",'Pivot Table for Fact Book'!$A$3,"State","DE","type",3,"Type2","Four-Year")</f>
        <v>0</v>
      </c>
      <c r="G7" s="198">
        <f>GETPIVOTDATA("Sum of NEW-Tot UG SCH Calc",'Pivot Table for Fact Book'!$A$3,"State","DE","type",3,"Type2","Four-Year")</f>
        <v>0</v>
      </c>
      <c r="H7" s="197">
        <f>GETPIVOTDATA("Sum of OLD-Tot UG SCH Calc",'Pivot Table for Fact Book'!$A$3,"State","DE","type",4,"Type2","Four-Year")</f>
        <v>0</v>
      </c>
      <c r="I7" s="198">
        <f>GETPIVOTDATA("Sum of NEW-Tot UG SCH Calc",'Pivot Table for Fact Book'!$A$3,"State","DE","type",4,"Type2","Four-Year")</f>
        <v>0</v>
      </c>
      <c r="J7" s="197">
        <f>GETPIVOTDATA("Sum of OLD-Tot UG SCH Calc",'Pivot Table for Fact Book'!$A$3,"State","DE","type",5,"Type2","Four-Year")</f>
        <v>0</v>
      </c>
      <c r="K7" s="198">
        <f>GETPIVOTDATA("Sum of NEW-Tot UG SCH Calc",'Pivot Table for Fact Book'!$A$3,"State","DE","type",5,"Type2","Four-Year")</f>
        <v>0</v>
      </c>
      <c r="L7" s="197">
        <f>GETPIVOTDATA("Sum of OLD-Tot UG SCH Calc",'Pivot Table for Fact Book'!$A$3,"State","DE","type",6,"Type2","Four-Year")</f>
        <v>0</v>
      </c>
      <c r="M7" s="198">
        <f>GETPIVOTDATA("Sum of NEW-Tot UG SCH Calc",'Pivot Table for Fact Book'!$A$3,"State","DE","type",6,"Type2","Four-Year")</f>
        <v>0</v>
      </c>
      <c r="N7" s="197">
        <f>GETPIVOTDATA("Sum of OLD-Tot UG SCH Calc",'Pivot Table for Fact Book'!$A$3,"State","DE","type",15,"Type2","Four-Year")</f>
        <v>0</v>
      </c>
      <c r="O7" s="198">
        <f>GETPIVOTDATA("Sum of NEW-Tot UG SCH Calc",'Pivot Table for Fact Book'!$A$3,"State","DE","type",15,"Type2","Four-Year")</f>
        <v>0</v>
      </c>
      <c r="P7" s="199">
        <f>GETPIVOTDATA("Sum of OLD-Tot UG SCH Calc",'Pivot Table for Fact Book'!$A$3,"State","DE","Type2","Four-Year")</f>
        <v>0</v>
      </c>
      <c r="Q7" s="199">
        <f>GETPIVOTDATA("Sum of NEW-Tot UG SCH Calc",'Pivot Table for Fact Book'!$A$3,"State","DE","Type2","Four-Year")</f>
        <v>0</v>
      </c>
      <c r="R7" s="197">
        <f>GETPIVOTDATA("Sum of OLD-Tot UG SCH Calc",'Pivot Table for Fact Book'!$A$3,"State","DE","type",7,"Type2","Two-Year")</f>
        <v>0</v>
      </c>
      <c r="S7" s="200">
        <f>GETPIVOTDATA("Sum of NEW-Tot UG SCH Calc",'Pivot Table for Fact Book'!$A$3,"State","DE","type",7,"Type2","Two-Year")</f>
        <v>0</v>
      </c>
      <c r="T7" s="200">
        <f>GETPIVOTDATA("Sum of OLD-Tot UG SCH Calc",'Pivot Table for Fact Book'!$A$3,"State","DE","type",8,"Type2","Two-Year")</f>
        <v>0</v>
      </c>
      <c r="U7" s="200">
        <f>GETPIVOTDATA("Sum of NEW-Tot UG SCH Calc",'Pivot Table for Fact Book'!$A$3,"State","DE","type",8,"Type2","Two-Year")</f>
        <v>0</v>
      </c>
      <c r="V7" s="200">
        <f>GETPIVOTDATA("Sum of OLD-Tot UG SCH Calc",'Pivot Table for Fact Book'!$A$3,"State","DE","type",9,"Type2","Two-Year")</f>
        <v>0</v>
      </c>
      <c r="W7" s="200">
        <f>GETPIVOTDATA("Sum of NEW-Tot UG SCH Calc",'Pivot Table for Fact Book'!$A$3,"State","DE","type",9,"Type2","Two-Year")</f>
        <v>0</v>
      </c>
      <c r="X7" s="200">
        <f>GETPIVOTDATA("Sum of OLD-Tot UG SCH Calc",'Pivot Table for Fact Book'!$A$3,"State","DE","type",10,"Type2","Two-Year")</f>
        <v>0</v>
      </c>
      <c r="Y7" s="200">
        <f>GETPIVOTDATA("Sum of NEW-Tot UG SCH Calc",'Pivot Table for Fact Book'!$A$3,"State","DE","type",10,"Type2","Two-Year")</f>
        <v>0</v>
      </c>
      <c r="Z7" s="201">
        <f>GETPIVOTDATA("Sum of OLD-Tot UG SCH Calc",'Pivot Table for Fact Book'!$A$3,"State","DE","Type2","Two-Year")</f>
        <v>0</v>
      </c>
      <c r="AA7" s="201">
        <f>GETPIVOTDATA("Sum of NEW-Tot UG SCH Calc",'Pivot Table for Fact Book'!$A$3,"State","DE","Type2","Two-Year")</f>
        <v>0</v>
      </c>
      <c r="AB7" s="197">
        <f>GETPIVOTDATA("Sum of OLD-Tot UG SCH Calc",'Pivot Table for Fact Book'!$A$3,"State","DE","type",12,"Type2","Technical")</f>
        <v>0</v>
      </c>
      <c r="AC7" s="200">
        <f>GETPIVOTDATA("Sum of NEW-Tot UG SCH Calc",'Pivot Table for Fact Book'!$A$3,"State","DE","type",12,"Type2","Technical")</f>
        <v>0</v>
      </c>
      <c r="AD7" s="197">
        <f>GETPIVOTDATA("Sum of OLD-Tot UG SCH Calc",'Pivot Table for Fact Book'!$A$3,"State","DE","type",13,"Type2","Technical")</f>
        <v>0</v>
      </c>
      <c r="AE7" s="200">
        <f>GETPIVOTDATA("Sum of NEW-Tot UG SCH Calc",'Pivot Table for Fact Book'!$A$3,"State","DE","type",13,"Type2","Technical")</f>
        <v>0</v>
      </c>
      <c r="AF7" s="202">
        <f>GETPIVOTDATA("Sum of OLD-Tot UG SCH Calc",'Pivot Table for Fact Book'!$A$3,"State","DE","Type2","Technical")</f>
        <v>0</v>
      </c>
      <c r="AG7" s="203">
        <f>GETPIVOTDATA("Sum of NEW-Tot UG SCH Calc",'Pivot Table for Fact Book'!$A$3,"State","DE","Type2","Technical")</f>
        <v>0</v>
      </c>
      <c r="AH7" s="14"/>
    </row>
    <row r="8" spans="1:34">
      <c r="A8" s="196" t="s">
        <v>178</v>
      </c>
      <c r="B8" s="197">
        <f>GETPIVOTDATA("Sum of OLD-Tot UG SCH Calc",'Pivot Table for Fact Book'!$A$3,"State","FL","type",1,"Type2","Four-Year")</f>
        <v>4994770</v>
      </c>
      <c r="C8" s="198">
        <f>GETPIVOTDATA("Sum of NEW-Tot UG SCH Calc",'Pivot Table for Fact Book'!$A$3,"State","FL","type",1,"Type2","Four-Year")</f>
        <v>5146567</v>
      </c>
      <c r="D8" s="197">
        <f>GETPIVOTDATA("Sum of OLD-Tot UG SCH Calc",'Pivot Table for Fact Book'!$A$3,"State","FL","type",2,"Type2","Four-Year")</f>
        <v>539048</v>
      </c>
      <c r="E8" s="198">
        <f>GETPIVOTDATA("Sum of NEW-Tot UG SCH Calc",'Pivot Table for Fact Book'!$A$3,"State","FL","type",2,"Type2","Four-Year")</f>
        <v>570235</v>
      </c>
      <c r="F8" s="197">
        <f>GETPIVOTDATA("Sum of OLD-Tot UG SCH Calc",'Pivot Table for Fact Book'!$A$3,"State","FL","type",3,"Type2","Four-Year")</f>
        <v>905161</v>
      </c>
      <c r="G8" s="198">
        <f>GETPIVOTDATA("Sum of NEW-Tot UG SCH Calc",'Pivot Table for Fact Book'!$A$3,"State","FL","type",3,"Type2","Four-Year")</f>
        <v>953563</v>
      </c>
      <c r="H8" s="197">
        <f>GETPIVOTDATA("Sum of OLD-Tot UG SCH Calc",'Pivot Table for Fact Book'!$A$3,"State","FL","type",4,"Type2","Four-Year")</f>
        <v>247828</v>
      </c>
      <c r="I8" s="198">
        <f>GETPIVOTDATA("Sum of NEW-Tot UG SCH Calc",'Pivot Table for Fact Book'!$A$3,"State","FL","type",4,"Type2","Four-Year")</f>
        <v>268823</v>
      </c>
      <c r="J8" s="197">
        <f>GETPIVOTDATA("Sum of OLD-Tot UG SCH Calc",'Pivot Table for Fact Book'!$A$3,"State","FL","type",5,"Type2","Four-Year")</f>
        <v>0</v>
      </c>
      <c r="K8" s="198">
        <f>GETPIVOTDATA("Sum of NEW-Tot UG SCH Calc",'Pivot Table for Fact Book'!$A$3,"State","FL","type",5,"Type2","Four-Year")</f>
        <v>0</v>
      </c>
      <c r="L8" s="197">
        <f>GETPIVOTDATA("Sum of OLD-Tot UG SCH Calc",'Pivot Table for Fact Book'!$A$3,"State","FL","type",6,"Type2","Four-Year")</f>
        <v>27872</v>
      </c>
      <c r="M8" s="198">
        <f>GETPIVOTDATA("Sum of NEW-Tot UG SCH Calc",'Pivot Table for Fact Book'!$A$3,"State","FL","type",6,"Type2","Four-Year")</f>
        <v>27680</v>
      </c>
      <c r="N8" s="197">
        <f>GETPIVOTDATA("Sum of OLD-Tot UG SCH Calc",'Pivot Table for Fact Book'!$A$3,"State","FL","type",15,"Type2","Four-Year")</f>
        <v>0</v>
      </c>
      <c r="O8" s="198">
        <f>GETPIVOTDATA("Sum of NEW-Tot UG SCH Calc",'Pivot Table for Fact Book'!$A$3,"State","FL","type",15,"Type2","Four-Year")</f>
        <v>0</v>
      </c>
      <c r="P8" s="199">
        <f>GETPIVOTDATA("Sum of OLD-Tot UG SCH Calc",'Pivot Table for Fact Book'!$A$3,"State","FL","Type2","Four-Year")</f>
        <v>6714679</v>
      </c>
      <c r="Q8" s="199">
        <f>GETPIVOTDATA("Sum of NEW-Tot UG SCH Calc",'Pivot Table for Fact Book'!$A$3,"State","FL","Type2","Four-Year")</f>
        <v>6966868</v>
      </c>
      <c r="R8" s="197">
        <f>GETPIVOTDATA("Sum of OLD-Tot UG SCH Calc",'Pivot Table for Fact Book'!$A$3,"State","FL","type",7,"Type2","Two-Year")</f>
        <v>2917184</v>
      </c>
      <c r="S8" s="200">
        <f>GETPIVOTDATA("Sum of NEW-Tot UG SCH Calc",'Pivot Table for Fact Book'!$A$3,"State","FL","type",7,"Type2","Two-Year")</f>
        <v>3200089</v>
      </c>
      <c r="T8" s="200">
        <f>GETPIVOTDATA("Sum of OLD-Tot UG SCH Calc",'Pivot Table for Fact Book'!$A$3,"State","FL","type",8,"Type2","Two-Year")</f>
        <v>5900906</v>
      </c>
      <c r="U8" s="200">
        <f>GETPIVOTDATA("Sum of NEW-Tot UG SCH Calc",'Pivot Table for Fact Book'!$A$3,"State","FL","type",8,"Type2","Two-Year")</f>
        <v>6526281</v>
      </c>
      <c r="V8" s="200">
        <f>GETPIVOTDATA("Sum of OLD-Tot UG SCH Calc",'Pivot Table for Fact Book'!$A$3,"State","FL","type",9,"Type2","Two-Year")</f>
        <v>451344</v>
      </c>
      <c r="W8" s="200">
        <f>GETPIVOTDATA("Sum of NEW-Tot UG SCH Calc",'Pivot Table for Fact Book'!$A$3,"State","FL","type",9,"Type2","Two-Year")</f>
        <v>484330</v>
      </c>
      <c r="X8" s="200">
        <f>GETPIVOTDATA("Sum of OLD-Tot UG SCH Calc",'Pivot Table for Fact Book'!$A$3,"State","FL","type",10,"Type2","Two-Year")</f>
        <v>50548</v>
      </c>
      <c r="Y8" s="200">
        <f>GETPIVOTDATA("Sum of NEW-Tot UG SCH Calc",'Pivot Table for Fact Book'!$A$3,"State","FL","type",10,"Type2","Two-Year")</f>
        <v>55835</v>
      </c>
      <c r="Z8" s="201">
        <f>GETPIVOTDATA("Sum of OLD-Tot UG SCH Calc",'Pivot Table for Fact Book'!$A$3,"State","FL","Type2","Two-Year")</f>
        <v>9319982</v>
      </c>
      <c r="AA8" s="201">
        <f>GETPIVOTDATA("Sum of NEW-Tot UG SCH Calc",'Pivot Table for Fact Book'!$A$3,"State","FL","Type2","Two-Year")</f>
        <v>10266535</v>
      </c>
      <c r="AB8" s="197">
        <f>GETPIVOTDATA("Sum of OLD-Tot UG SCH Calc",'Pivot Table for Fact Book'!$A$3,"State","FL","type",12,"Type2","Technical")</f>
        <v>0</v>
      </c>
      <c r="AC8" s="200">
        <f>GETPIVOTDATA("Sum of NEW-Tot UG SCH Calc",'Pivot Table for Fact Book'!$A$3,"State","FL","type",12,"Type2","Technical")</f>
        <v>0</v>
      </c>
      <c r="AD8" s="197">
        <f>GETPIVOTDATA("Sum of OLD-Tot UG SCH Calc",'Pivot Table for Fact Book'!$A$3,"State","FL","type",13,"Type2","Technical")</f>
        <v>0</v>
      </c>
      <c r="AE8" s="200">
        <f>GETPIVOTDATA("Sum of NEW-Tot UG SCH Calc",'Pivot Table for Fact Book'!$A$3,"State","FL","type",13,"Type2","Technical")</f>
        <v>0</v>
      </c>
      <c r="AF8" s="202">
        <f>GETPIVOTDATA("Sum of OLD-Tot UG SCH Calc",'Pivot Table for Fact Book'!$A$3,"State","FL","Type2","Technical")</f>
        <v>0</v>
      </c>
      <c r="AG8" s="203">
        <f>GETPIVOTDATA("Sum of NEW-Tot UG SCH Calc",'Pivot Table for Fact Book'!$A$3,"State","FL","Type2","Technical")</f>
        <v>0</v>
      </c>
      <c r="AH8" s="14"/>
    </row>
    <row r="9" spans="1:34">
      <c r="A9" s="196" t="s">
        <v>179</v>
      </c>
      <c r="B9" s="197">
        <f>GETPIVOTDATA("Sum of OLD-Tot UG SCH Calc",'Pivot Table for Fact Book'!$A$3,"State","GA","type",1,"Type2","Four-Year")</f>
        <v>0</v>
      </c>
      <c r="C9" s="198">
        <f>GETPIVOTDATA("Sum of NEW-Tot UG SCH Calc",'Pivot Table for Fact Book'!$A$3,"State","GA","type",1,"Type2","Four-Year")</f>
        <v>0</v>
      </c>
      <c r="D9" s="197">
        <f>GETPIVOTDATA("Sum of OLD-Tot UG SCH Calc",'Pivot Table for Fact Book'!$A$3,"State","GA","type",2,"Type2","Four-Year")</f>
        <v>0</v>
      </c>
      <c r="E9" s="198">
        <f>GETPIVOTDATA("Sum of NEW-Tot UG SCH Calc",'Pivot Table for Fact Book'!$A$3,"State","GA","type",2,"Type2","Four-Year")</f>
        <v>0</v>
      </c>
      <c r="F9" s="197">
        <f>GETPIVOTDATA("Sum of OLD-Tot UG SCH Calc",'Pivot Table for Fact Book'!$A$3,"State","GA","type",3,"Type2","Four-Year")</f>
        <v>0</v>
      </c>
      <c r="G9" s="198">
        <f>GETPIVOTDATA("Sum of NEW-Tot UG SCH Calc",'Pivot Table for Fact Book'!$A$3,"State","GA","type",3,"Type2","Four-Year")</f>
        <v>0</v>
      </c>
      <c r="H9" s="197">
        <f>GETPIVOTDATA("Sum of OLD-Tot UG SCH Calc",'Pivot Table for Fact Book'!$A$3,"State","GA","type",4,"Type2","Four-Year")</f>
        <v>0</v>
      </c>
      <c r="I9" s="198">
        <f>GETPIVOTDATA("Sum of NEW-Tot UG SCH Calc",'Pivot Table for Fact Book'!$A$3,"State","GA","type",4,"Type2","Four-Year")</f>
        <v>0</v>
      </c>
      <c r="J9" s="197">
        <f>GETPIVOTDATA("Sum of OLD-Tot UG SCH Calc",'Pivot Table for Fact Book'!$A$3,"State","GA","type",5,"Type2","Four-Year")</f>
        <v>0</v>
      </c>
      <c r="K9" s="198">
        <f>GETPIVOTDATA("Sum of NEW-Tot UG SCH Calc",'Pivot Table for Fact Book'!$A$3,"State","GA","type",5,"Type2","Four-Year")</f>
        <v>0</v>
      </c>
      <c r="L9" s="197">
        <f>GETPIVOTDATA("Sum of OLD-Tot UG SCH Calc",'Pivot Table for Fact Book'!$A$3,"State","GA","type",6,"Type2","Four-Year")</f>
        <v>0</v>
      </c>
      <c r="M9" s="198">
        <f>GETPIVOTDATA("Sum of NEW-Tot UG SCH Calc",'Pivot Table for Fact Book'!$A$3,"State","GA","type",6,"Type2","Four-Year")</f>
        <v>0</v>
      </c>
      <c r="N9" s="197">
        <f>GETPIVOTDATA("Sum of OLD-Tot UG SCH Calc",'Pivot Table for Fact Book'!$A$3,"State","GA","type",15,"Type2","Four-Year")</f>
        <v>0</v>
      </c>
      <c r="O9" s="198">
        <f>GETPIVOTDATA("Sum of NEW-Tot UG SCH Calc",'Pivot Table for Fact Book'!$A$3,"State","GA","type",15,"Type2","Four-Year")</f>
        <v>0</v>
      </c>
      <c r="P9" s="199">
        <f>GETPIVOTDATA("Sum of OLD-Tot UG SCH Calc",'Pivot Table for Fact Book'!$A$3,"State","GA","Type2","Four-Year")</f>
        <v>0</v>
      </c>
      <c r="Q9" s="199">
        <f>GETPIVOTDATA("Sum of NEW-Tot UG SCH Calc",'Pivot Table for Fact Book'!$A$3,"State","GA","Type2","Four-Year")</f>
        <v>0</v>
      </c>
      <c r="R9" s="197">
        <f>GETPIVOTDATA("Sum of OLD-Tot UG SCH Calc",'Pivot Table for Fact Book'!$A$3,"State","GA","type",7,"Type2","Two-Year")</f>
        <v>0</v>
      </c>
      <c r="S9" s="200">
        <f>GETPIVOTDATA("Sum of NEW-Tot UG SCH Calc",'Pivot Table for Fact Book'!$A$3,"State","GA","type",7,"Type2","Two-Year")</f>
        <v>0</v>
      </c>
      <c r="T9" s="200">
        <f>GETPIVOTDATA("Sum of OLD-Tot UG SCH Calc",'Pivot Table for Fact Book'!$A$3,"State","GA","type",8,"Type2","Two-Year")</f>
        <v>0</v>
      </c>
      <c r="U9" s="200">
        <f>GETPIVOTDATA("Sum of NEW-Tot UG SCH Calc",'Pivot Table for Fact Book'!$A$3,"State","GA","type",8,"Type2","Two-Year")</f>
        <v>0</v>
      </c>
      <c r="V9" s="200">
        <f>GETPIVOTDATA("Sum of OLD-Tot UG SCH Calc",'Pivot Table for Fact Book'!$A$3,"State","GA","type",9,"Type2","Two-Year")</f>
        <v>0</v>
      </c>
      <c r="W9" s="200">
        <f>GETPIVOTDATA("Sum of NEW-Tot UG SCH Calc",'Pivot Table for Fact Book'!$A$3,"State","GA","type",9,"Type2","Two-Year")</f>
        <v>0</v>
      </c>
      <c r="X9" s="200">
        <f>GETPIVOTDATA("Sum of OLD-Tot UG SCH Calc",'Pivot Table for Fact Book'!$A$3,"State","GA","type",10,"Type2","Two-Year")</f>
        <v>0</v>
      </c>
      <c r="Y9" s="200">
        <f>GETPIVOTDATA("Sum of NEW-Tot UG SCH Calc",'Pivot Table for Fact Book'!$A$3,"State","GA","type",10,"Type2","Two-Year")</f>
        <v>0</v>
      </c>
      <c r="Z9" s="201">
        <f>GETPIVOTDATA("Sum of OLD-Tot UG SCH Calc",'Pivot Table for Fact Book'!$A$3,"State","GA","Type2","Two-Year")</f>
        <v>0</v>
      </c>
      <c r="AA9" s="201">
        <f>GETPIVOTDATA("Sum of NEW-Tot UG SCH Calc",'Pivot Table for Fact Book'!$A$3,"State","GA","Type2","Two-Year")</f>
        <v>0</v>
      </c>
      <c r="AB9" s="197">
        <f>GETPIVOTDATA("Sum of OLD-Tot UG SCH Calc",'Pivot Table for Fact Book'!$A$3,"State","GA","type",12,"Type2","Technical")</f>
        <v>4260087.1999999993</v>
      </c>
      <c r="AC9" s="200">
        <f>GETPIVOTDATA("Sum of NEW-Tot UG SCH Calc",'Pivot Table for Fact Book'!$A$3,"State","GA","type",12,"Type2","Technical")</f>
        <v>4599720.7</v>
      </c>
      <c r="AD9" s="197">
        <f>GETPIVOTDATA("Sum of OLD-Tot UG SCH Calc",'Pivot Table for Fact Book'!$A$3,"State","GA","type",13,"Type2","Technical")</f>
        <v>74022.3</v>
      </c>
      <c r="AE9" s="200">
        <f>GETPIVOTDATA("Sum of NEW-Tot UG SCH Calc",'Pivot Table for Fact Book'!$A$3,"State","GA","type",13,"Type2","Technical")</f>
        <v>37373</v>
      </c>
      <c r="AF9" s="202">
        <f>GETPIVOTDATA("Sum of OLD-Tot UG SCH Calc",'Pivot Table for Fact Book'!$A$3,"State","GA","Type2","Technical")</f>
        <v>4334109.4999999991</v>
      </c>
      <c r="AG9" s="203">
        <f>GETPIVOTDATA("Sum of NEW-Tot UG SCH Calc",'Pivot Table for Fact Book'!$A$3,"State","GA","Type2","Technical")</f>
        <v>4637093.7</v>
      </c>
      <c r="AH9" s="14"/>
    </row>
    <row r="10" spans="1:34">
      <c r="A10" s="196" t="s">
        <v>180</v>
      </c>
      <c r="B10" s="197">
        <f>GETPIVOTDATA("Sum of OLD-Tot UG SCH Calc",'Pivot Table for Fact Book'!$A$3,"State","KY","type",1,"Type2","Four-Year")</f>
        <v>910882</v>
      </c>
      <c r="C10" s="198">
        <f>GETPIVOTDATA("Sum of NEW-Tot UG SCH Calc",'Pivot Table for Fact Book'!$A$3,"State","KY","type",1,"Type2","Four-Year")</f>
        <v>933808</v>
      </c>
      <c r="D10" s="197">
        <f>GETPIVOTDATA("Sum of OLD-Tot UG SCH Calc",'Pivot Table for Fact Book'!$A$3,"State","KY","type",2,"Type2","Four-Year")</f>
        <v>0</v>
      </c>
      <c r="E10" s="198">
        <f>GETPIVOTDATA("Sum of NEW-Tot UG SCH Calc",'Pivot Table for Fact Book'!$A$3,"State","KY","type",2,"Type2","Four-Year")</f>
        <v>0</v>
      </c>
      <c r="F10" s="197">
        <f>GETPIVOTDATA("Sum of OLD-Tot UG SCH Calc",'Pivot Table for Fact Book'!$A$3,"State","KY","type",3,"Type2","Four-Year")</f>
        <v>1233592</v>
      </c>
      <c r="G10" s="198">
        <f>GETPIVOTDATA("Sum of NEW-Tot UG SCH Calc",'Pivot Table for Fact Book'!$A$3,"State","KY","type",3,"Type2","Four-Year")</f>
        <v>1247754</v>
      </c>
      <c r="H10" s="197">
        <f>GETPIVOTDATA("Sum of OLD-Tot UG SCH Calc",'Pivot Table for Fact Book'!$A$3,"State","KY","type",4,"Type2","Four-Year")</f>
        <v>392633</v>
      </c>
      <c r="I10" s="198">
        <f>GETPIVOTDATA("Sum of NEW-Tot UG SCH Calc",'Pivot Table for Fact Book'!$A$3,"State","KY","type",4,"Type2","Four-Year")</f>
        <v>398429</v>
      </c>
      <c r="J10" s="197">
        <f>GETPIVOTDATA("Sum of OLD-Tot UG SCH Calc",'Pivot Table for Fact Book'!$A$3,"State","KY","type",5,"Type2","Four-Year")</f>
        <v>0</v>
      </c>
      <c r="K10" s="198">
        <f>GETPIVOTDATA("Sum of NEW-Tot UG SCH Calc",'Pivot Table for Fact Book'!$A$3,"State","KY","type",5,"Type2","Four-Year")</f>
        <v>0</v>
      </c>
      <c r="L10" s="197">
        <f>GETPIVOTDATA("Sum of OLD-Tot UG SCH Calc",'Pivot Table for Fact Book'!$A$3,"State","KY","type",6,"Type2","Four-Year")</f>
        <v>0</v>
      </c>
      <c r="M10" s="198">
        <f>GETPIVOTDATA("Sum of NEW-Tot UG SCH Calc",'Pivot Table for Fact Book'!$A$3,"State","KY","type",6,"Type2","Four-Year")</f>
        <v>0</v>
      </c>
      <c r="N10" s="197">
        <f>GETPIVOTDATA("Sum of OLD-Tot UG SCH Calc",'Pivot Table for Fact Book'!$A$3,"State","KY","type",15,"Type2","Four-Year")</f>
        <v>0</v>
      </c>
      <c r="O10" s="198">
        <f>GETPIVOTDATA("Sum of NEW-Tot UG SCH Calc",'Pivot Table for Fact Book'!$A$3,"State","KY","type",15,"Type2","Four-Year")</f>
        <v>0</v>
      </c>
      <c r="P10" s="199">
        <f>GETPIVOTDATA("Sum of OLD-Tot UG SCH Calc",'Pivot Table for Fact Book'!$A$3,"State","KY","Type2","Four-Year")</f>
        <v>2537107</v>
      </c>
      <c r="Q10" s="199">
        <f>GETPIVOTDATA("Sum of NEW-Tot UG SCH Calc",'Pivot Table for Fact Book'!$A$3,"State","KY","Type2","Four-Year")</f>
        <v>2579991</v>
      </c>
      <c r="R10" s="197">
        <f>GETPIVOTDATA("Sum of OLD-Tot UG SCH Calc",'Pivot Table for Fact Book'!$A$3,"State","KY","type",7,"Type2","Two-Year")</f>
        <v>0</v>
      </c>
      <c r="S10" s="200">
        <f>GETPIVOTDATA("Sum of NEW-Tot UG SCH Calc",'Pivot Table for Fact Book'!$A$3,"State","KY","type",7,"Type2","Two-Year")</f>
        <v>0</v>
      </c>
      <c r="T10" s="200">
        <f>GETPIVOTDATA("Sum of OLD-Tot UG SCH Calc",'Pivot Table for Fact Book'!$A$3,"State","KY","type",8,"Type2","Two-Year")</f>
        <v>508819</v>
      </c>
      <c r="U10" s="200">
        <f>GETPIVOTDATA("Sum of NEW-Tot UG SCH Calc",'Pivot Table for Fact Book'!$A$3,"State","KY","type",8,"Type2","Two-Year")</f>
        <v>553195</v>
      </c>
      <c r="V10" s="200">
        <f>GETPIVOTDATA("Sum of OLD-Tot UG SCH Calc",'Pivot Table for Fact Book'!$A$3,"State","KY","type",9,"Type2","Two-Year")</f>
        <v>815270</v>
      </c>
      <c r="W10" s="200">
        <f>GETPIVOTDATA("Sum of NEW-Tot UG SCH Calc",'Pivot Table for Fact Book'!$A$3,"State","KY","type",9,"Type2","Two-Year")</f>
        <v>937563</v>
      </c>
      <c r="X10" s="200">
        <f>GETPIVOTDATA("Sum of OLD-Tot UG SCH Calc",'Pivot Table for Fact Book'!$A$3,"State","KY","type",10,"Type2","Two-Year")</f>
        <v>167664</v>
      </c>
      <c r="Y10" s="200">
        <f>GETPIVOTDATA("Sum of NEW-Tot UG SCH Calc",'Pivot Table for Fact Book'!$A$3,"State","KY","type",10,"Type2","Two-Year")</f>
        <v>190507</v>
      </c>
      <c r="Z10" s="201">
        <f>GETPIVOTDATA("Sum of OLD-Tot UG SCH Calc",'Pivot Table for Fact Book'!$A$3,"State","KY","Type2","Two-Year")</f>
        <v>1491753</v>
      </c>
      <c r="AA10" s="201">
        <f>GETPIVOTDATA("Sum of NEW-Tot UG SCH Calc",'Pivot Table for Fact Book'!$A$3,"State","KY","Type2","Two-Year")</f>
        <v>1681265</v>
      </c>
      <c r="AB10" s="197">
        <f>GETPIVOTDATA("Sum of OLD-Tot UG SCH Calc",'Pivot Table for Fact Book'!$A$3,"State","KY","type",12,"Type2","Technical")</f>
        <v>110495</v>
      </c>
      <c r="AC10" s="200">
        <f>GETPIVOTDATA("Sum of NEW-Tot UG SCH Calc",'Pivot Table for Fact Book'!$A$3,"State","KY","type",12,"Type2","Technical")</f>
        <v>137533</v>
      </c>
      <c r="AD10" s="197">
        <f>GETPIVOTDATA("Sum of OLD-Tot UG SCH Calc",'Pivot Table for Fact Book'!$A$3,"State","KY","type",13,"Type2","Technical")</f>
        <v>0</v>
      </c>
      <c r="AE10" s="200">
        <f>GETPIVOTDATA("Sum of NEW-Tot UG SCH Calc",'Pivot Table for Fact Book'!$A$3,"State","KY","type",13,"Type2","Technical")</f>
        <v>0</v>
      </c>
      <c r="AF10" s="202">
        <f>GETPIVOTDATA("Sum of OLD-Tot UG SCH Calc",'Pivot Table for Fact Book'!$A$3,"State","KY","Type2","Technical")</f>
        <v>110495</v>
      </c>
      <c r="AG10" s="203">
        <f>GETPIVOTDATA("Sum of NEW-Tot UG SCH Calc",'Pivot Table for Fact Book'!$A$3,"State","KY","Type2","Technical")</f>
        <v>137533</v>
      </c>
      <c r="AH10" s="14"/>
    </row>
    <row r="11" spans="1:34">
      <c r="A11" s="196" t="s">
        <v>181</v>
      </c>
      <c r="B11" s="197">
        <f>GETPIVOTDATA("Sum of OLD-Tot UG SCH Calc",'Pivot Table for Fact Book'!$A$3,"State","LA","type",1,"Type2","Four-Year")</f>
        <v>0</v>
      </c>
      <c r="C11" s="198">
        <f>GETPIVOTDATA("Sum of NEW-Tot UG SCH Calc",'Pivot Table for Fact Book'!$A$3,"State","LA","type",1,"Type2","Four-Year")</f>
        <v>0</v>
      </c>
      <c r="D11" s="197">
        <f>GETPIVOTDATA("Sum of OLD-Tot UG SCH Calc",'Pivot Table for Fact Book'!$A$3,"State","LA","type",2,"Type2","Four-Year")</f>
        <v>0</v>
      </c>
      <c r="E11" s="198">
        <f>GETPIVOTDATA("Sum of NEW-Tot UG SCH Calc",'Pivot Table for Fact Book'!$A$3,"State","LA","type",2,"Type2","Four-Year")</f>
        <v>0</v>
      </c>
      <c r="F11" s="197">
        <f>GETPIVOTDATA("Sum of OLD-Tot UG SCH Calc",'Pivot Table for Fact Book'!$A$3,"State","LA","type",3,"Type2","Four-Year")</f>
        <v>0</v>
      </c>
      <c r="G11" s="198">
        <f>GETPIVOTDATA("Sum of NEW-Tot UG SCH Calc",'Pivot Table for Fact Book'!$A$3,"State","LA","type",3,"Type2","Four-Year")</f>
        <v>0</v>
      </c>
      <c r="H11" s="197">
        <f>GETPIVOTDATA("Sum of OLD-Tot UG SCH Calc",'Pivot Table for Fact Book'!$A$3,"State","LA","type",4,"Type2","Four-Year")</f>
        <v>0</v>
      </c>
      <c r="I11" s="198">
        <f>GETPIVOTDATA("Sum of NEW-Tot UG SCH Calc",'Pivot Table for Fact Book'!$A$3,"State","LA","type",4,"Type2","Four-Year")</f>
        <v>0</v>
      </c>
      <c r="J11" s="197">
        <f>GETPIVOTDATA("Sum of OLD-Tot UG SCH Calc",'Pivot Table for Fact Book'!$A$3,"State","LA","type",5,"Type2","Four-Year")</f>
        <v>0</v>
      </c>
      <c r="K11" s="198">
        <f>GETPIVOTDATA("Sum of NEW-Tot UG SCH Calc",'Pivot Table for Fact Book'!$A$3,"State","LA","type",5,"Type2","Four-Year")</f>
        <v>0</v>
      </c>
      <c r="L11" s="197">
        <f>GETPIVOTDATA("Sum of OLD-Tot UG SCH Calc",'Pivot Table for Fact Book'!$A$3,"State","LA","type",6,"Type2","Four-Year")</f>
        <v>0</v>
      </c>
      <c r="M11" s="198">
        <f>GETPIVOTDATA("Sum of NEW-Tot UG SCH Calc",'Pivot Table for Fact Book'!$A$3,"State","LA","type",6,"Type2","Four-Year")</f>
        <v>0</v>
      </c>
      <c r="N11" s="197">
        <f>GETPIVOTDATA("Sum of OLD-Tot UG SCH Calc",'Pivot Table for Fact Book'!$A$3,"State","LA","type",15,"Type2","Four-Year")</f>
        <v>0</v>
      </c>
      <c r="O11" s="198">
        <f>GETPIVOTDATA("Sum of NEW-Tot UG SCH Calc",'Pivot Table for Fact Book'!$A$3,"State","LA","type",15,"Type2","Four-Year")</f>
        <v>0</v>
      </c>
      <c r="P11" s="199">
        <f>GETPIVOTDATA("Sum of OLD-Tot UG SCH Calc",'Pivot Table for Fact Book'!$A$3,"State","LA","Type2","Four-Year")</f>
        <v>0</v>
      </c>
      <c r="Q11" s="199">
        <f>GETPIVOTDATA("Sum of NEW-Tot UG SCH Calc",'Pivot Table for Fact Book'!$A$3,"State","LA","Type2","Four-Year")</f>
        <v>0</v>
      </c>
      <c r="R11" s="197">
        <f>GETPIVOTDATA("Sum of OLD-Tot UG SCH Calc",'Pivot Table for Fact Book'!$A$3,"State","LA","type",7,"Type2","Two-Year")</f>
        <v>0</v>
      </c>
      <c r="S11" s="200">
        <f>GETPIVOTDATA("Sum of NEW-Tot UG SCH Calc",'Pivot Table for Fact Book'!$A$3,"State","LA","type",7,"Type2","Two-Year")</f>
        <v>0</v>
      </c>
      <c r="T11" s="200">
        <f>GETPIVOTDATA("Sum of OLD-Tot UG SCH Calc",'Pivot Table for Fact Book'!$A$3,"State","LA","type",8,"Type2","Two-Year")</f>
        <v>0</v>
      </c>
      <c r="U11" s="200">
        <f>GETPIVOTDATA("Sum of NEW-Tot UG SCH Calc",'Pivot Table for Fact Book'!$A$3,"State","LA","type",8,"Type2","Two-Year")</f>
        <v>0</v>
      </c>
      <c r="V11" s="200">
        <f>GETPIVOTDATA("Sum of OLD-Tot UG SCH Calc",'Pivot Table for Fact Book'!$A$3,"State","LA","type",9,"Type2","Two-Year")</f>
        <v>0</v>
      </c>
      <c r="W11" s="200">
        <f>GETPIVOTDATA("Sum of NEW-Tot UG SCH Calc",'Pivot Table for Fact Book'!$A$3,"State","LA","type",9,"Type2","Two-Year")</f>
        <v>0</v>
      </c>
      <c r="X11" s="200">
        <f>GETPIVOTDATA("Sum of OLD-Tot UG SCH Calc",'Pivot Table for Fact Book'!$A$3,"State","LA","type",10,"Type2","Two-Year")</f>
        <v>0</v>
      </c>
      <c r="Y11" s="200">
        <f>GETPIVOTDATA("Sum of NEW-Tot UG SCH Calc",'Pivot Table for Fact Book'!$A$3,"State","LA","type",10,"Type2","Two-Year")</f>
        <v>0</v>
      </c>
      <c r="Z11" s="201">
        <f>GETPIVOTDATA("Sum of OLD-Tot UG SCH Calc",'Pivot Table for Fact Book'!$A$3,"State","LA","Type2","Two-Year")</f>
        <v>0</v>
      </c>
      <c r="AA11" s="201">
        <f>GETPIVOTDATA("Sum of NEW-Tot UG SCH Calc",'Pivot Table for Fact Book'!$A$3,"State","LA","Type2","Two-Year")</f>
        <v>0</v>
      </c>
      <c r="AB11" s="197">
        <f>GETPIVOTDATA("Sum of OLD-Tot UG SCH Calc",'Pivot Table for Fact Book'!$A$3,"State","LA","type",12,"Type2","Technical")</f>
        <v>0</v>
      </c>
      <c r="AC11" s="200">
        <f>GETPIVOTDATA("Sum of NEW-Tot UG SCH Calc",'Pivot Table for Fact Book'!$A$3,"State","LA","type",12,"Type2","Technical")</f>
        <v>0</v>
      </c>
      <c r="AD11" s="197">
        <f>GETPIVOTDATA("Sum of OLD-Tot UG SCH Calc",'Pivot Table for Fact Book'!$A$3,"State","LA","type",13,"Type2","Technical")</f>
        <v>0</v>
      </c>
      <c r="AE11" s="200">
        <f>GETPIVOTDATA("Sum of NEW-Tot UG SCH Calc",'Pivot Table for Fact Book'!$A$3,"State","LA","type",13,"Type2","Technical")</f>
        <v>0</v>
      </c>
      <c r="AF11" s="202">
        <f>GETPIVOTDATA("Sum of OLD-Tot UG SCH Calc",'Pivot Table for Fact Book'!$A$3,"State","LA","Type2","Technical")</f>
        <v>0</v>
      </c>
      <c r="AG11" s="203">
        <f>GETPIVOTDATA("Sum of NEW-Tot UG SCH Calc",'Pivot Table for Fact Book'!$A$3,"State","LA","Type2","Technical")</f>
        <v>0</v>
      </c>
      <c r="AH11" s="14"/>
    </row>
    <row r="12" spans="1:34">
      <c r="A12" s="196" t="s">
        <v>222</v>
      </c>
      <c r="B12" s="197">
        <f>GETPIVOTDATA("Sum of OLD-Tot UG SCH Calc",'Pivot Table for Fact Book'!$A$3,"State","MD","type",1,"Type2","Four-Year")</f>
        <v>791533.5</v>
      </c>
      <c r="C12" s="198">
        <f>GETPIVOTDATA("Sum of NEW-Tot UG SCH Calc",'Pivot Table for Fact Book'!$A$3,"State","MD","type",1,"Type2","Four-Year")</f>
        <v>799218</v>
      </c>
      <c r="D12" s="197">
        <f>GETPIVOTDATA("Sum of OLD-Tot UG SCH Calc",'Pivot Table for Fact Book'!$A$3,"State","MD","type",2,"Type2","Four-Year")</f>
        <v>269872</v>
      </c>
      <c r="E12" s="198">
        <f>GETPIVOTDATA("Sum of NEW-Tot UG SCH Calc",'Pivot Table for Fact Book'!$A$3,"State","MD","type",2,"Type2","Four-Year")</f>
        <v>290420.5</v>
      </c>
      <c r="F12" s="197">
        <f>GETPIVOTDATA("Sum of OLD-Tot UG SCH Calc",'Pivot Table for Fact Book'!$A$3,"State","MD","type",3,"Type2","Four-Year")</f>
        <v>665534.5</v>
      </c>
      <c r="G12" s="198">
        <f>GETPIVOTDATA("Sum of NEW-Tot UG SCH Calc",'Pivot Table for Fact Book'!$A$3,"State","MD","type",3,"Type2","Four-Year")</f>
        <v>687935.5</v>
      </c>
      <c r="H12" s="197">
        <f>GETPIVOTDATA("Sum of OLD-Tot UG SCH Calc",'Pivot Table for Fact Book'!$A$3,"State","MD","type",4,"Type2","Four-Year")</f>
        <v>736972</v>
      </c>
      <c r="I12" s="198">
        <f>GETPIVOTDATA("Sum of NEW-Tot UG SCH Calc",'Pivot Table for Fact Book'!$A$3,"State","MD","type",4,"Type2","Four-Year")</f>
        <v>765194</v>
      </c>
      <c r="J12" s="197">
        <f>GETPIVOTDATA("Sum of OLD-Tot UG SCH Calc",'Pivot Table for Fact Book'!$A$3,"State","MD","type",5,"Type2","Four-Year")</f>
        <v>0</v>
      </c>
      <c r="K12" s="198">
        <f>GETPIVOTDATA("Sum of NEW-Tot UG SCH Calc",'Pivot Table for Fact Book'!$A$3,"State","MD","type",5,"Type2","Four-Year")</f>
        <v>0</v>
      </c>
      <c r="L12" s="197">
        <f>GETPIVOTDATA("Sum of OLD-Tot UG SCH Calc",'Pivot Table for Fact Book'!$A$3,"State","MD","type",6,"Type2","Four-Year")</f>
        <v>61956</v>
      </c>
      <c r="M12" s="198">
        <f>GETPIVOTDATA("Sum of NEW-Tot UG SCH Calc",'Pivot Table for Fact Book'!$A$3,"State","MD","type",6,"Type2","Four-Year")</f>
        <v>62834.5</v>
      </c>
      <c r="N12" s="197">
        <f>GETPIVOTDATA("Sum of OLD-Tot UG SCH Calc",'Pivot Table for Fact Book'!$A$3,"State","MD","type",15,"Type2","Four-Year")</f>
        <v>384318</v>
      </c>
      <c r="O12" s="198">
        <f>GETPIVOTDATA("Sum of NEW-Tot UG SCH Calc",'Pivot Table for Fact Book'!$A$3,"State","MD","type",15,"Type2","Four-Year")</f>
        <v>422643</v>
      </c>
      <c r="P12" s="199">
        <f>GETPIVOTDATA("Sum of OLD-Tot UG SCH Calc",'Pivot Table for Fact Book'!$A$3,"State","MD","Type2","Four-Year")</f>
        <v>2910186</v>
      </c>
      <c r="Q12" s="199">
        <f>GETPIVOTDATA("Sum of NEW-Tot UG SCH Calc",'Pivot Table for Fact Book'!$A$3,"State","MD","Type2","Four-Year")</f>
        <v>3028245.5</v>
      </c>
      <c r="R12" s="197">
        <f>GETPIVOTDATA("Sum of OLD-Tot UG SCH Calc",'Pivot Table for Fact Book'!$A$3,"State","MD","type",7,"Type2","Two-Year")</f>
        <v>0</v>
      </c>
      <c r="S12" s="200">
        <f>GETPIVOTDATA("Sum of NEW-Tot UG SCH Calc",'Pivot Table for Fact Book'!$A$3,"State","MD","type",7,"Type2","Two-Year")</f>
        <v>0</v>
      </c>
      <c r="T12" s="200">
        <f>GETPIVOTDATA("Sum of OLD-Tot UG SCH Calc",'Pivot Table for Fact Book'!$A$3,"State","MD","type",8,"Type2","Two-Year")</f>
        <v>1595740</v>
      </c>
      <c r="U12" s="200">
        <f>GETPIVOTDATA("Sum of NEW-Tot UG SCH Calc",'Pivot Table for Fact Book'!$A$3,"State","MD","type",8,"Type2","Two-Year")</f>
        <v>1757107.7</v>
      </c>
      <c r="V12" s="200">
        <f>GETPIVOTDATA("Sum of OLD-Tot UG SCH Calc",'Pivot Table for Fact Book'!$A$3,"State","MD","type",9,"Type2","Two-Year")</f>
        <v>959983</v>
      </c>
      <c r="W12" s="200">
        <f>GETPIVOTDATA("Sum of NEW-Tot UG SCH Calc",'Pivot Table for Fact Book'!$A$3,"State","MD","type",9,"Type2","Two-Year")</f>
        <v>1071113.5</v>
      </c>
      <c r="X12" s="200">
        <f>GETPIVOTDATA("Sum of OLD-Tot UG SCH Calc",'Pivot Table for Fact Book'!$A$3,"State","MD","type",10,"Type2","Two-Year")</f>
        <v>114581.05</v>
      </c>
      <c r="Y12" s="200">
        <f>GETPIVOTDATA("Sum of NEW-Tot UG SCH Calc",'Pivot Table for Fact Book'!$A$3,"State","MD","type",10,"Type2","Two-Year")</f>
        <v>123677.25</v>
      </c>
      <c r="Z12" s="201">
        <f>GETPIVOTDATA("Sum of OLD-Tot UG SCH Calc",'Pivot Table for Fact Book'!$A$3,"State","MD","Type2","Two-Year")</f>
        <v>2670304.0499999998</v>
      </c>
      <c r="AA12" s="201">
        <f>GETPIVOTDATA("Sum of NEW-Tot UG SCH Calc",'Pivot Table for Fact Book'!$A$3,"State","MD","Type2","Two-Year")</f>
        <v>2951898.45</v>
      </c>
      <c r="AB12" s="197">
        <f>GETPIVOTDATA("Sum of OLD-Tot UG SCH Calc",'Pivot Table for Fact Book'!$A$3,"State","MD","type",12,"Type2","Technical")</f>
        <v>0</v>
      </c>
      <c r="AC12" s="200">
        <f>GETPIVOTDATA("Sum of NEW-Tot UG SCH Calc",'Pivot Table for Fact Book'!$A$3,"State","MD","type",12,"Type2","Technical")</f>
        <v>0</v>
      </c>
      <c r="AD12" s="197">
        <f>GETPIVOTDATA("Sum of OLD-Tot UG SCH Calc",'Pivot Table for Fact Book'!$A$3,"State","MD","type",13,"Type2","Technical")</f>
        <v>0</v>
      </c>
      <c r="AE12" s="200">
        <f>GETPIVOTDATA("Sum of NEW-Tot UG SCH Calc",'Pivot Table for Fact Book'!$A$3,"State","MD","type",13,"Type2","Technical")</f>
        <v>0</v>
      </c>
      <c r="AF12" s="202">
        <f>GETPIVOTDATA("Sum of OLD-Tot UG SCH Calc",'Pivot Table for Fact Book'!$A$3,"State","MD","Type2","Technical")</f>
        <v>0</v>
      </c>
      <c r="AG12" s="203">
        <f>GETPIVOTDATA("Sum of NEW-Tot UG SCH Calc",'Pivot Table for Fact Book'!$A$3,"State","MD","Type2","Technical")</f>
        <v>0</v>
      </c>
      <c r="AH12" s="14"/>
    </row>
    <row r="13" spans="1:34">
      <c r="A13" s="196" t="s">
        <v>183</v>
      </c>
      <c r="B13" s="197">
        <f>GETPIVOTDATA("Sum of OLD-Tot UG SCH Calc",'Pivot Table for Fact Book'!$A$3,"State","MS","type",1,"Type2","Four-Year")</f>
        <v>740711</v>
      </c>
      <c r="C13" s="198">
        <f>GETPIVOTDATA("Sum of NEW-Tot UG SCH Calc",'Pivot Table for Fact Book'!$A$3,"State","MS","type",1,"Type2","Four-Year")</f>
        <v>761085</v>
      </c>
      <c r="D13" s="197">
        <f>GETPIVOTDATA("Sum of OLD-Tot UG SCH Calc",'Pivot Table for Fact Book'!$A$3,"State","MS","type",2,"Type2","Four-Year")</f>
        <v>533640</v>
      </c>
      <c r="E13" s="198">
        <f>GETPIVOTDATA("Sum of NEW-Tot UG SCH Calc",'Pivot Table for Fact Book'!$A$3,"State","MS","type",2,"Type2","Four-Year")</f>
        <v>577234.5</v>
      </c>
      <c r="F13" s="197">
        <f>GETPIVOTDATA("Sum of OLD-Tot UG SCH Calc",'Pivot Table for Fact Book'!$A$3,"State","MS","type",3,"Type2","Four-Year")</f>
        <v>0</v>
      </c>
      <c r="G13" s="198">
        <f>GETPIVOTDATA("Sum of NEW-Tot UG SCH Calc",'Pivot Table for Fact Book'!$A$3,"State","MS","type",3,"Type2","Four-Year")</f>
        <v>0</v>
      </c>
      <c r="H13" s="197">
        <f>GETPIVOTDATA("Sum of OLD-Tot UG SCH Calc",'Pivot Table for Fact Book'!$A$3,"State","MS","type",4,"Type2","Four-Year")</f>
        <v>225683</v>
      </c>
      <c r="I13" s="198">
        <f>GETPIVOTDATA("Sum of NEW-Tot UG SCH Calc",'Pivot Table for Fact Book'!$A$3,"State","MS","type",4,"Type2","Four-Year")</f>
        <v>228354</v>
      </c>
      <c r="J13" s="197">
        <f>GETPIVOTDATA("Sum of OLD-Tot UG SCH Calc",'Pivot Table for Fact Book'!$A$3,"State","MS","type",5,"Type2","Four-Year")</f>
        <v>57804</v>
      </c>
      <c r="K13" s="198">
        <f>GETPIVOTDATA("Sum of NEW-Tot UG SCH Calc",'Pivot Table for Fact Book'!$A$3,"State","MS","type",5,"Type2","Four-Year")</f>
        <v>63024</v>
      </c>
      <c r="L13" s="197">
        <f>GETPIVOTDATA("Sum of OLD-Tot UG SCH Calc",'Pivot Table for Fact Book'!$A$3,"State","MS","type",6,"Type2","Four-Year")</f>
        <v>0</v>
      </c>
      <c r="M13" s="198">
        <f>GETPIVOTDATA("Sum of NEW-Tot UG SCH Calc",'Pivot Table for Fact Book'!$A$3,"State","MS","type",6,"Type2","Four-Year")</f>
        <v>0</v>
      </c>
      <c r="N13" s="197">
        <f>GETPIVOTDATA("Sum of OLD-Tot UG SCH Calc",'Pivot Table for Fact Book'!$A$3,"State","MS","type",15,"Type2","Four-Year")</f>
        <v>0</v>
      </c>
      <c r="O13" s="198">
        <f>GETPIVOTDATA("Sum of NEW-Tot UG SCH Calc",'Pivot Table for Fact Book'!$A$3,"State","MS","type",15,"Type2","Four-Year")</f>
        <v>0</v>
      </c>
      <c r="P13" s="199">
        <f>GETPIVOTDATA("Sum of OLD-Tot UG SCH Calc",'Pivot Table for Fact Book'!$A$3,"State","MS","Type2","Four-Year")</f>
        <v>1557838</v>
      </c>
      <c r="Q13" s="199">
        <f>GETPIVOTDATA("Sum of NEW-Tot UG SCH Calc",'Pivot Table for Fact Book'!$A$3,"State","MS","Type2","Four-Year")</f>
        <v>1629697.5</v>
      </c>
      <c r="R13" s="197">
        <f>GETPIVOTDATA("Sum of OLD-Tot UG SCH Calc",'Pivot Table for Fact Book'!$A$3,"State","MS","type",7,"Type2","Two-Year")</f>
        <v>0</v>
      </c>
      <c r="S13" s="200">
        <f>GETPIVOTDATA("Sum of NEW-Tot UG SCH Calc",'Pivot Table for Fact Book'!$A$3,"State","MS","type",7,"Type2","Two-Year")</f>
        <v>0</v>
      </c>
      <c r="T13" s="200">
        <f>GETPIVOTDATA("Sum of OLD-Tot UG SCH Calc",'Pivot Table for Fact Book'!$A$3,"State","MS","type",8,"Type2","Two-Year")</f>
        <v>908324</v>
      </c>
      <c r="U13" s="200">
        <f>GETPIVOTDATA("Sum of NEW-Tot UG SCH Calc",'Pivot Table for Fact Book'!$A$3,"State","MS","type",8,"Type2","Two-Year")</f>
        <v>1046744</v>
      </c>
      <c r="V13" s="200">
        <f>GETPIVOTDATA("Sum of OLD-Tot UG SCH Calc",'Pivot Table for Fact Book'!$A$3,"State","MS","type",9,"Type2","Two-Year")</f>
        <v>935651</v>
      </c>
      <c r="W13" s="200">
        <f>GETPIVOTDATA("Sum of NEW-Tot UG SCH Calc",'Pivot Table for Fact Book'!$A$3,"State","MS","type",9,"Type2","Two-Year")</f>
        <v>1052107</v>
      </c>
      <c r="X13" s="200">
        <f>GETPIVOTDATA("Sum of OLD-Tot UG SCH Calc",'Pivot Table for Fact Book'!$A$3,"State","MS","type",10,"Type2","Two-Year")</f>
        <v>108080</v>
      </c>
      <c r="Y13" s="200">
        <f>GETPIVOTDATA("Sum of NEW-Tot UG SCH Calc",'Pivot Table for Fact Book'!$A$3,"State","MS","type",10,"Type2","Two-Year")</f>
        <v>120095</v>
      </c>
      <c r="Z13" s="201">
        <f>GETPIVOTDATA("Sum of OLD-Tot UG SCH Calc",'Pivot Table for Fact Book'!$A$3,"State","MS","Type2","Two-Year")</f>
        <v>1952055</v>
      </c>
      <c r="AA13" s="201">
        <f>GETPIVOTDATA("Sum of NEW-Tot UG SCH Calc",'Pivot Table for Fact Book'!$A$3,"State","MS","Type2","Two-Year")</f>
        <v>2218946</v>
      </c>
      <c r="AB13" s="197">
        <f>GETPIVOTDATA("Sum of OLD-Tot UG SCH Calc",'Pivot Table for Fact Book'!$A$3,"State","MS","type",12,"Type2","Technical")</f>
        <v>0</v>
      </c>
      <c r="AC13" s="200">
        <f>GETPIVOTDATA("Sum of NEW-Tot UG SCH Calc",'Pivot Table for Fact Book'!$A$3,"State","MS","type",12,"Type2","Technical")</f>
        <v>0</v>
      </c>
      <c r="AD13" s="197">
        <f>GETPIVOTDATA("Sum of OLD-Tot UG SCH Calc",'Pivot Table for Fact Book'!$A$3,"State","MS","type",13,"Type2","Technical")</f>
        <v>0</v>
      </c>
      <c r="AE13" s="200">
        <f>GETPIVOTDATA("Sum of NEW-Tot UG SCH Calc",'Pivot Table for Fact Book'!$A$3,"State","MS","type",13,"Type2","Technical")</f>
        <v>0</v>
      </c>
      <c r="AF13" s="202">
        <f>GETPIVOTDATA("Sum of OLD-Tot UG SCH Calc",'Pivot Table for Fact Book'!$A$3,"State","MS","Type2","Technical")</f>
        <v>0</v>
      </c>
      <c r="AG13" s="203">
        <f>GETPIVOTDATA("Sum of NEW-Tot UG SCH Calc",'Pivot Table for Fact Book'!$A$3,"State","MS","Type2","Technical")</f>
        <v>0</v>
      </c>
      <c r="AH13" s="14"/>
    </row>
    <row r="14" spans="1:34">
      <c r="A14" s="196" t="s">
        <v>184</v>
      </c>
      <c r="B14" s="197">
        <f>GETPIVOTDATA("Sum of OLD-Tot UG SCH Calc",'Pivot Table for Fact Book'!$A$3,"State","NC","type",1,"Type2","Four-Year")</f>
        <v>1225712</v>
      </c>
      <c r="C14" s="198">
        <f>GETPIVOTDATA("Sum of NEW-Tot UG SCH Calc",'Pivot Table for Fact Book'!$A$3,"State","NC","type",1,"Type2","Four-Year")</f>
        <v>1234732</v>
      </c>
      <c r="D14" s="197">
        <f>GETPIVOTDATA("Sum of OLD-Tot UG SCH Calc",'Pivot Table for Fact Book'!$A$3,"State","NC","type",2,"Type2","Four-Year")</f>
        <v>938293</v>
      </c>
      <c r="E14" s="198">
        <f>GETPIVOTDATA("Sum of NEW-Tot UG SCH Calc",'Pivot Table for Fact Book'!$A$3,"State","NC","type",2,"Type2","Four-Year")</f>
        <v>965211</v>
      </c>
      <c r="F14" s="197">
        <f>GETPIVOTDATA("Sum of OLD-Tot UG SCH Calc",'Pivot Table for Fact Book'!$A$3,"State","NC","type",3,"Type2","Four-Year")</f>
        <v>2010485</v>
      </c>
      <c r="G14" s="198">
        <f>GETPIVOTDATA("Sum of NEW-Tot UG SCH Calc",'Pivot Table for Fact Book'!$A$3,"State","NC","type",3,"Type2","Four-Year")</f>
        <v>2064575</v>
      </c>
      <c r="H14" s="197">
        <f>GETPIVOTDATA("Sum of OLD-Tot UG SCH Calc",'Pivot Table for Fact Book'!$A$3,"State","NC","type",4,"Type2","Four-Year")</f>
        <v>155114</v>
      </c>
      <c r="I14" s="198">
        <f>GETPIVOTDATA("Sum of NEW-Tot UG SCH Calc",'Pivot Table for Fact Book'!$A$3,"State","NC","type",4,"Type2","Four-Year")</f>
        <v>144829</v>
      </c>
      <c r="J14" s="197">
        <f>GETPIVOTDATA("Sum of OLD-Tot UG SCH Calc",'Pivot Table for Fact Book'!$A$3,"State","NC","type",5,"Type2","Four-Year")</f>
        <v>334724</v>
      </c>
      <c r="K14" s="198">
        <f>GETPIVOTDATA("Sum of NEW-Tot UG SCH Calc",'Pivot Table for Fact Book'!$A$3,"State","NC","type",5,"Type2","Four-Year")</f>
        <v>342848</v>
      </c>
      <c r="L14" s="197">
        <f>GETPIVOTDATA("Sum of OLD-Tot UG SCH Calc",'Pivot Table for Fact Book'!$A$3,"State","NC","type",6,"Type2","Four-Year")</f>
        <v>193937</v>
      </c>
      <c r="M14" s="198">
        <f>GETPIVOTDATA("Sum of NEW-Tot UG SCH Calc",'Pivot Table for Fact Book'!$A$3,"State","NC","type",6,"Type2","Four-Year")</f>
        <v>202516</v>
      </c>
      <c r="N14" s="197">
        <f>GETPIVOTDATA("Sum of OLD-Tot UG SCH Calc",'Pivot Table for Fact Book'!$A$3,"State","NC","type",15,"Type2","Four-Year")</f>
        <v>0</v>
      </c>
      <c r="O14" s="198">
        <f>GETPIVOTDATA("Sum of NEW-Tot UG SCH Calc",'Pivot Table for Fact Book'!$A$3,"State","NC","type",15,"Type2","Four-Year")</f>
        <v>0</v>
      </c>
      <c r="P14" s="199">
        <f>GETPIVOTDATA("Sum of OLD-Tot UG SCH Calc",'Pivot Table for Fact Book'!$A$3,"State","NC","Type2","Four-Year")</f>
        <v>4858265</v>
      </c>
      <c r="Q14" s="199">
        <f>GETPIVOTDATA("Sum of NEW-Tot UG SCH Calc",'Pivot Table for Fact Book'!$A$3,"State","NC","Type2","Four-Year")</f>
        <v>4954711</v>
      </c>
      <c r="R14" s="197">
        <f>GETPIVOTDATA("Sum of OLD-Tot UG SCH Calc",'Pivot Table for Fact Book'!$A$3,"State","NC","type",7,"Type2","Two-Year")</f>
        <v>0</v>
      </c>
      <c r="S14" s="200">
        <f>GETPIVOTDATA("Sum of NEW-Tot UG SCH Calc",'Pivot Table for Fact Book'!$A$3,"State","NC","type",7,"Type2","Two-Year")</f>
        <v>0</v>
      </c>
      <c r="T14" s="200">
        <f>GETPIVOTDATA("Sum of OLD-Tot UG SCH Calc",'Pivot Table for Fact Book'!$A$3,"State","NC","type",8,"Type2","Two-Year")</f>
        <v>2157816</v>
      </c>
      <c r="U14" s="200">
        <f>GETPIVOTDATA("Sum of NEW-Tot UG SCH Calc",'Pivot Table for Fact Book'!$A$3,"State","NC","type",8,"Type2","Two-Year")</f>
        <v>2426176</v>
      </c>
      <c r="V14" s="200">
        <f>GETPIVOTDATA("Sum of OLD-Tot UG SCH Calc",'Pivot Table for Fact Book'!$A$3,"State","NC","type",9,"Type2","Two-Year")</f>
        <v>1948840</v>
      </c>
      <c r="W14" s="200">
        <f>GETPIVOTDATA("Sum of NEW-Tot UG SCH Calc",'Pivot Table for Fact Book'!$A$3,"State","NC","type",9,"Type2","Two-Year")</f>
        <v>2128322</v>
      </c>
      <c r="X14" s="200">
        <f>GETPIVOTDATA("Sum of OLD-Tot UG SCH Calc",'Pivot Table for Fact Book'!$A$3,"State","NC","type",10,"Type2","Two-Year")</f>
        <v>822067</v>
      </c>
      <c r="Y14" s="200">
        <f>GETPIVOTDATA("Sum of NEW-Tot UG SCH Calc",'Pivot Table for Fact Book'!$A$3,"State","NC","type",10,"Type2","Two-Year")</f>
        <v>885250</v>
      </c>
      <c r="Z14" s="201">
        <f>GETPIVOTDATA("Sum of OLD-Tot UG SCH Calc",'Pivot Table for Fact Book'!$A$3,"State","NC","Type2","Two-Year")</f>
        <v>4928723</v>
      </c>
      <c r="AA14" s="201">
        <f>GETPIVOTDATA("Sum of NEW-Tot UG SCH Calc",'Pivot Table for Fact Book'!$A$3,"State","NC","Type2","Two-Year")</f>
        <v>5439748</v>
      </c>
      <c r="AB14" s="197">
        <f>GETPIVOTDATA("Sum of OLD-Tot UG SCH Calc",'Pivot Table for Fact Book'!$A$3,"State","NC","type",12,"Type2","Technical")</f>
        <v>0</v>
      </c>
      <c r="AC14" s="200">
        <f>GETPIVOTDATA("Sum of NEW-Tot UG SCH Calc",'Pivot Table for Fact Book'!$A$3,"State","NC","type",12,"Type2","Technical")</f>
        <v>0</v>
      </c>
      <c r="AD14" s="197">
        <f>GETPIVOTDATA("Sum of OLD-Tot UG SCH Calc",'Pivot Table for Fact Book'!$A$3,"State","NC","type",13,"Type2","Technical")</f>
        <v>0</v>
      </c>
      <c r="AE14" s="200">
        <f>GETPIVOTDATA("Sum of NEW-Tot UG SCH Calc",'Pivot Table for Fact Book'!$A$3,"State","NC","type",13,"Type2","Technical")</f>
        <v>0</v>
      </c>
      <c r="AF14" s="202">
        <f>GETPIVOTDATA("Sum of OLD-Tot UG SCH Calc",'Pivot Table for Fact Book'!$A$3,"State","NC","Type2","Technical")</f>
        <v>0</v>
      </c>
      <c r="AG14" s="203">
        <f>GETPIVOTDATA("Sum of NEW-Tot UG SCH Calc",'Pivot Table for Fact Book'!$A$3,"State","NC","Type2","Technical")</f>
        <v>0</v>
      </c>
      <c r="AH14" s="14"/>
    </row>
    <row r="15" spans="1:34">
      <c r="A15" s="196" t="s">
        <v>185</v>
      </c>
      <c r="B15" s="197">
        <f>GETPIVOTDATA("Sum of OLD-Tot UG SCH Calc",'Pivot Table for Fact Book'!$A$3,"State","OK","type",1,"Type2","Four-Year")</f>
        <v>1032537</v>
      </c>
      <c r="C15" s="198">
        <f>GETPIVOTDATA("Sum of NEW-Tot UG SCH Calc",'Pivot Table for Fact Book'!$A$3,"State","OK","type",1,"Type2","Four-Year")</f>
        <v>1072747</v>
      </c>
      <c r="D15" s="197">
        <f>GETPIVOTDATA("Sum of OLD-Tot UG SCH Calc",'Pivot Table for Fact Book'!$A$3,"State","OK","type",2,"Type2","Four-Year")</f>
        <v>0</v>
      </c>
      <c r="E15" s="198">
        <f>GETPIVOTDATA("Sum of NEW-Tot UG SCH Calc",'Pivot Table for Fact Book'!$A$3,"State","OK","type",2,"Type2","Four-Year")</f>
        <v>0</v>
      </c>
      <c r="F15" s="197">
        <f>GETPIVOTDATA("Sum of OLD-Tot UG SCH Calc",'Pivot Table for Fact Book'!$A$3,"State","OK","type",3,"Type2","Four-Year")</f>
        <v>541209</v>
      </c>
      <c r="G15" s="198">
        <f>GETPIVOTDATA("Sum of NEW-Tot UG SCH Calc",'Pivot Table for Fact Book'!$A$3,"State","OK","type",3,"Type2","Four-Year")</f>
        <v>570594</v>
      </c>
      <c r="H15" s="197">
        <f>GETPIVOTDATA("Sum of OLD-Tot UG SCH Calc",'Pivot Table for Fact Book'!$A$3,"State","OK","type",4,"Type2","Four-Year")</f>
        <v>0</v>
      </c>
      <c r="I15" s="198">
        <f>GETPIVOTDATA("Sum of NEW-Tot UG SCH Calc",'Pivot Table for Fact Book'!$A$3,"State","OK","type",4,"Type2","Four-Year")</f>
        <v>0</v>
      </c>
      <c r="J15" s="197">
        <f>GETPIVOTDATA("Sum of OLD-Tot UG SCH Calc",'Pivot Table for Fact Book'!$A$3,"State","OK","type",5,"Type2","Four-Year")</f>
        <v>556612</v>
      </c>
      <c r="K15" s="198">
        <f>GETPIVOTDATA("Sum of NEW-Tot UG SCH Calc",'Pivot Table for Fact Book'!$A$3,"State","OK","type",5,"Type2","Four-Year")</f>
        <v>584608</v>
      </c>
      <c r="L15" s="197">
        <f>GETPIVOTDATA("Sum of OLD-Tot UG SCH Calc",'Pivot Table for Fact Book'!$A$3,"State","OK","type",6,"Type2","Four-Year")</f>
        <v>156829</v>
      </c>
      <c r="M15" s="198">
        <f>GETPIVOTDATA("Sum of NEW-Tot UG SCH Calc",'Pivot Table for Fact Book'!$A$3,"State","OK","type",6,"Type2","Four-Year")</f>
        <v>168945</v>
      </c>
      <c r="N15" s="197">
        <f>GETPIVOTDATA("Sum of OLD-Tot UG SCH Calc",'Pivot Table for Fact Book'!$A$3,"State","OK","type",15,"Type2","Four-Year")</f>
        <v>0</v>
      </c>
      <c r="O15" s="198">
        <f>GETPIVOTDATA("Sum of NEW-Tot UG SCH Calc",'Pivot Table for Fact Book'!$A$3,"State","OK","type",15,"Type2","Four-Year")</f>
        <v>0</v>
      </c>
      <c r="P15" s="199">
        <f>GETPIVOTDATA("Sum of OLD-Tot UG SCH Calc",'Pivot Table for Fact Book'!$A$3,"State","OK","Type2","Four-Year")</f>
        <v>2287187</v>
      </c>
      <c r="Q15" s="199">
        <f>GETPIVOTDATA("Sum of NEW-Tot UG SCH Calc",'Pivot Table for Fact Book'!$A$3,"State","OK","Type2","Four-Year")</f>
        <v>2396894</v>
      </c>
      <c r="R15" s="197">
        <f>GETPIVOTDATA("Sum of OLD-Tot UG SCH Calc",'Pivot Table for Fact Book'!$A$3,"State","OK","type",7,"Type2","Two-Year")</f>
        <v>98559</v>
      </c>
      <c r="S15" s="200">
        <f>GETPIVOTDATA("Sum of NEW-Tot UG SCH Calc",'Pivot Table for Fact Book'!$A$3,"State","OK","type",7,"Type2","Two-Year")</f>
        <v>96782</v>
      </c>
      <c r="T15" s="200">
        <f>GETPIVOTDATA("Sum of OLD-Tot UG SCH Calc",'Pivot Table for Fact Book'!$A$3,"State","OK","type",8,"Type2","Two-Year")</f>
        <v>639694</v>
      </c>
      <c r="U15" s="200">
        <f>GETPIVOTDATA("Sum of NEW-Tot UG SCH Calc",'Pivot Table for Fact Book'!$A$3,"State","OK","type",8,"Type2","Two-Year")</f>
        <v>647009</v>
      </c>
      <c r="V15" s="200">
        <f>GETPIVOTDATA("Sum of OLD-Tot UG SCH Calc",'Pivot Table for Fact Book'!$A$3,"State","OK","type",9,"Type2","Two-Year")</f>
        <v>387369</v>
      </c>
      <c r="W15" s="200">
        <f>GETPIVOTDATA("Sum of NEW-Tot UG SCH Calc",'Pivot Table for Fact Book'!$A$3,"State","OK","type",9,"Type2","Two-Year")</f>
        <v>439695</v>
      </c>
      <c r="X15" s="200">
        <f>GETPIVOTDATA("Sum of OLD-Tot UG SCH Calc",'Pivot Table for Fact Book'!$A$3,"State","OK","type",10,"Type2","Two-Year")</f>
        <v>396561</v>
      </c>
      <c r="Y15" s="200">
        <f>GETPIVOTDATA("Sum of NEW-Tot UG SCH Calc",'Pivot Table for Fact Book'!$A$3,"State","OK","type",10,"Type2","Two-Year")</f>
        <v>445740</v>
      </c>
      <c r="Z15" s="201">
        <f>GETPIVOTDATA("Sum of OLD-Tot UG SCH Calc",'Pivot Table for Fact Book'!$A$3,"State","OK","Type2","Two-Year")</f>
        <v>1522183</v>
      </c>
      <c r="AA15" s="201">
        <f>GETPIVOTDATA("Sum of NEW-Tot UG SCH Calc",'Pivot Table for Fact Book'!$A$3,"State","OK","Type2","Two-Year")</f>
        <v>1629226</v>
      </c>
      <c r="AB15" s="197">
        <f>GETPIVOTDATA("Sum of OLD-Tot UG SCH Calc",'Pivot Table for Fact Book'!$A$3,"State","OK","type",12,"Type2","Technical")</f>
        <v>0</v>
      </c>
      <c r="AC15" s="200">
        <f>GETPIVOTDATA("Sum of NEW-Tot UG SCH Calc",'Pivot Table for Fact Book'!$A$3,"State","OK","type",12,"Type2","Technical")</f>
        <v>0</v>
      </c>
      <c r="AD15" s="197">
        <f>GETPIVOTDATA("Sum of OLD-Tot UG SCH Calc",'Pivot Table for Fact Book'!$A$3,"State","OK","type",13,"Type2","Technical")</f>
        <v>0</v>
      </c>
      <c r="AE15" s="200">
        <f>GETPIVOTDATA("Sum of NEW-Tot UG SCH Calc",'Pivot Table for Fact Book'!$A$3,"State","OK","type",13,"Type2","Technical")</f>
        <v>0</v>
      </c>
      <c r="AF15" s="202">
        <f>GETPIVOTDATA("Sum of OLD-Tot UG SCH Calc",'Pivot Table for Fact Book'!$A$3,"State","OK","Type2","Technical")</f>
        <v>0</v>
      </c>
      <c r="AG15" s="203">
        <f>GETPIVOTDATA("Sum of NEW-Tot UG SCH Calc",'Pivot Table for Fact Book'!$A$3,"State","OK","Type2","Technical")</f>
        <v>0</v>
      </c>
      <c r="AH15" s="14"/>
    </row>
    <row r="16" spans="1:34">
      <c r="A16" s="196" t="s">
        <v>186</v>
      </c>
      <c r="B16" s="197">
        <f>GETPIVOTDATA("Sum of OLD-Tot UG SCH Calc",'Pivot Table for Fact Book'!$A$3,"State","SC","type",1,"Type2","Four-Year")</f>
        <v>1058660</v>
      </c>
      <c r="C16" s="198">
        <f>GETPIVOTDATA("Sum of NEW-Tot UG SCH Calc",'Pivot Table for Fact Book'!$A$3,"State","SC","type",1,"Type2","Four-Year")</f>
        <v>1096262</v>
      </c>
      <c r="D16" s="197">
        <f>GETPIVOTDATA("Sum of OLD-Tot UG SCH Calc",'Pivot Table for Fact Book'!$A$3,"State","SC","type",2,"Type2","Four-Year")</f>
        <v>0</v>
      </c>
      <c r="E16" s="198">
        <f>GETPIVOTDATA("Sum of NEW-Tot UG SCH Calc",'Pivot Table for Fact Book'!$A$3,"State","SC","type",2,"Type2","Four-Year")</f>
        <v>0</v>
      </c>
      <c r="F16" s="197">
        <f>GETPIVOTDATA("Sum of OLD-Tot UG SCH Calc",'Pivot Table for Fact Book'!$A$3,"State","SC","type",3,"Type2","Four-Year")</f>
        <v>433308</v>
      </c>
      <c r="G16" s="198">
        <f>GETPIVOTDATA("Sum of NEW-Tot UG SCH Calc",'Pivot Table for Fact Book'!$A$3,"State","SC","type",3,"Type2","Four-Year")</f>
        <v>438379.5</v>
      </c>
      <c r="H16" s="197">
        <f>GETPIVOTDATA("Sum of OLD-Tot UG SCH Calc",'Pivot Table for Fact Book'!$A$3,"State","SC","type",4,"Type2","Four-Year")</f>
        <v>83574</v>
      </c>
      <c r="I16" s="198">
        <f>GETPIVOTDATA("Sum of NEW-Tot UG SCH Calc",'Pivot Table for Fact Book'!$A$3,"State","SC","type",4,"Type2","Four-Year")</f>
        <v>85876</v>
      </c>
      <c r="J16" s="197">
        <f>GETPIVOTDATA("Sum of OLD-Tot UG SCH Calc",'Pivot Table for Fact Book'!$A$3,"State","SC","type",5,"Type2","Four-Year")</f>
        <v>439761</v>
      </c>
      <c r="K16" s="198">
        <f>GETPIVOTDATA("Sum of NEW-Tot UG SCH Calc",'Pivot Table for Fact Book'!$A$3,"State","SC","type",5,"Type2","Four-Year")</f>
        <v>454983</v>
      </c>
      <c r="L16" s="197">
        <f>GETPIVOTDATA("Sum of OLD-Tot UG SCH Calc",'Pivot Table for Fact Book'!$A$3,"State","SC","type",6,"Type2","Four-Year")</f>
        <v>342502</v>
      </c>
      <c r="M16" s="198">
        <f>GETPIVOTDATA("Sum of NEW-Tot UG SCH Calc",'Pivot Table for Fact Book'!$A$3,"State","SC","type",6,"Type2","Four-Year")</f>
        <v>361664.5</v>
      </c>
      <c r="N16" s="197">
        <f>GETPIVOTDATA("Sum of OLD-Tot UG SCH Calc",'Pivot Table for Fact Book'!$A$3,"State","SC","type",15,"Type2","Four-Year")</f>
        <v>0</v>
      </c>
      <c r="O16" s="198">
        <f>GETPIVOTDATA("Sum of NEW-Tot UG SCH Calc",'Pivot Table for Fact Book'!$A$3,"State","SC","type",15,"Type2","Four-Year")</f>
        <v>0</v>
      </c>
      <c r="P16" s="199">
        <f>GETPIVOTDATA("Sum of OLD-Tot UG SCH Calc",'Pivot Table for Fact Book'!$A$3,"State","SC","Type2","Four-Year")</f>
        <v>2357805</v>
      </c>
      <c r="Q16" s="199">
        <f>GETPIVOTDATA("Sum of NEW-Tot UG SCH Calc",'Pivot Table for Fact Book'!$A$3,"State","SC","Type2","Four-Year")</f>
        <v>2437165</v>
      </c>
      <c r="R16" s="197">
        <f>GETPIVOTDATA("Sum of OLD-Tot UG SCH Calc",'Pivot Table for Fact Book'!$A$3,"State","SC","type",7,"Type2","Two-Year")</f>
        <v>0</v>
      </c>
      <c r="S16" s="200">
        <f>GETPIVOTDATA("Sum of NEW-Tot UG SCH Calc",'Pivot Table for Fact Book'!$A$3,"State","SC","type",7,"Type2","Two-Year")</f>
        <v>0</v>
      </c>
      <c r="T16" s="200">
        <f>GETPIVOTDATA("Sum of OLD-Tot UG SCH Calc",'Pivot Table for Fact Book'!$A$3,"State","SC","type",8,"Type2","Two-Year")</f>
        <v>971991</v>
      </c>
      <c r="U16" s="200">
        <f>GETPIVOTDATA("Sum of NEW-Tot UG SCH Calc",'Pivot Table for Fact Book'!$A$3,"State","SC","type",8,"Type2","Two-Year")</f>
        <v>984006</v>
      </c>
      <c r="V16" s="200">
        <f>GETPIVOTDATA("Sum of OLD-Tot UG SCH Calc",'Pivot Table for Fact Book'!$A$3,"State","SC","type",9,"Type2","Two-Year")</f>
        <v>1090511</v>
      </c>
      <c r="W16" s="200">
        <f>GETPIVOTDATA("Sum of NEW-Tot UG SCH Calc",'Pivot Table for Fact Book'!$A$3,"State","SC","type",9,"Type2","Two-Year")</f>
        <v>1148254</v>
      </c>
      <c r="X16" s="200">
        <f>GETPIVOTDATA("Sum of OLD-Tot UG SCH Calc",'Pivot Table for Fact Book'!$A$3,"State","SC","type",10,"Type2","Two-Year")</f>
        <v>223842</v>
      </c>
      <c r="Y16" s="200">
        <f>GETPIVOTDATA("Sum of NEW-Tot UG SCH Calc",'Pivot Table for Fact Book'!$A$3,"State","SC","type",10,"Type2","Two-Year")</f>
        <v>235856</v>
      </c>
      <c r="Z16" s="201">
        <f>GETPIVOTDATA("Sum of OLD-Tot UG SCH Calc",'Pivot Table for Fact Book'!$A$3,"State","SC","Type2","Two-Year")</f>
        <v>2286344</v>
      </c>
      <c r="AA16" s="201">
        <f>GETPIVOTDATA("Sum of NEW-Tot UG SCH Calc",'Pivot Table for Fact Book'!$A$3,"State","SC","Type2","Two-Year")</f>
        <v>2368116</v>
      </c>
      <c r="AB16" s="197">
        <f>GETPIVOTDATA("Sum of OLD-Tot UG SCH Calc",'Pivot Table for Fact Book'!$A$3,"State","SC","type",12,"Type2","Technical")</f>
        <v>0</v>
      </c>
      <c r="AC16" s="200">
        <f>GETPIVOTDATA("Sum of NEW-Tot UG SCH Calc",'Pivot Table for Fact Book'!$A$3,"State","SC","type",12,"Type2","Technical")</f>
        <v>0</v>
      </c>
      <c r="AD16" s="197">
        <f>GETPIVOTDATA("Sum of OLD-Tot UG SCH Calc",'Pivot Table for Fact Book'!$A$3,"State","SC","type",13,"Type2","Technical")</f>
        <v>0</v>
      </c>
      <c r="AE16" s="200">
        <f>GETPIVOTDATA("Sum of NEW-Tot UG SCH Calc",'Pivot Table for Fact Book'!$A$3,"State","SC","type",13,"Type2","Technical")</f>
        <v>0</v>
      </c>
      <c r="AF16" s="202">
        <f>GETPIVOTDATA("Sum of OLD-Tot UG SCH Calc",'Pivot Table for Fact Book'!$A$3,"State","SC","Type2","Technical")</f>
        <v>0</v>
      </c>
      <c r="AG16" s="203">
        <f>GETPIVOTDATA("Sum of NEW-Tot UG SCH Calc",'Pivot Table for Fact Book'!$A$3,"State","SC","Type2","Technical")</f>
        <v>0</v>
      </c>
      <c r="AH16" s="14"/>
    </row>
    <row r="17" spans="1:34">
      <c r="A17" s="196" t="s">
        <v>187</v>
      </c>
      <c r="B17" s="197">
        <f>GETPIVOTDATA("Sum of OLD-Tot UG SCH Calc",'Pivot Table for Fact Book'!$A$3,"State","TN","type",1,"Type2","Four-Year")</f>
        <v>1030515</v>
      </c>
      <c r="C17" s="198">
        <f>GETPIVOTDATA("Sum of NEW-Tot UG SCH Calc",'Pivot Table for Fact Book'!$A$3,"State","TN","type",1,"Type2","Four-Year")</f>
        <v>990540</v>
      </c>
      <c r="D17" s="197">
        <f>GETPIVOTDATA("Sum of OLD-Tot UG SCH Calc",'Pivot Table for Fact Book'!$A$3,"State","TN","type",2,"Type2","Four-Year")</f>
        <v>0</v>
      </c>
      <c r="E17" s="198">
        <f>GETPIVOTDATA("Sum of NEW-Tot UG SCH Calc",'Pivot Table for Fact Book'!$A$3,"State","TN","type",2,"Type2","Four-Year")</f>
        <v>0</v>
      </c>
      <c r="F17" s="197">
        <f>GETPIVOTDATA("Sum of OLD-Tot UG SCH Calc",'Pivot Table for Fact Book'!$A$3,"State","TN","type",3,"Type2","Four-Year")</f>
        <v>1778953</v>
      </c>
      <c r="G17" s="198">
        <f>GETPIVOTDATA("Sum of NEW-Tot UG SCH Calc",'Pivot Table for Fact Book'!$A$3,"State","TN","type",3,"Type2","Four-Year")</f>
        <v>1850777</v>
      </c>
      <c r="H17" s="197">
        <f>GETPIVOTDATA("Sum of OLD-Tot UG SCH Calc",'Pivot Table for Fact Book'!$A$3,"State","TN","type",4,"Type2","Four-Year")</f>
        <v>0</v>
      </c>
      <c r="I17" s="198">
        <f>GETPIVOTDATA("Sum of NEW-Tot UG SCH Calc",'Pivot Table for Fact Book'!$A$3,"State","TN","type",4,"Type2","Four-Year")</f>
        <v>0</v>
      </c>
      <c r="J17" s="197">
        <f>GETPIVOTDATA("Sum of OLD-Tot UG SCH Calc",'Pivot Table for Fact Book'!$A$3,"State","TN","type",5,"Type2","Four-Year")</f>
        <v>193747</v>
      </c>
      <c r="K17" s="198">
        <f>GETPIVOTDATA("Sum of NEW-Tot UG SCH Calc",'Pivot Table for Fact Book'!$A$3,"State","TN","type",5,"Type2","Four-Year")</f>
        <v>189533</v>
      </c>
      <c r="L17" s="197">
        <f>GETPIVOTDATA("Sum of OLD-Tot UG SCH Calc",'Pivot Table for Fact Book'!$A$3,"State","TN","type",6,"Type2","Four-Year")</f>
        <v>0</v>
      </c>
      <c r="M17" s="198">
        <f>GETPIVOTDATA("Sum of NEW-Tot UG SCH Calc",'Pivot Table for Fact Book'!$A$3,"State","TN","type",6,"Type2","Four-Year")</f>
        <v>0</v>
      </c>
      <c r="N17" s="197">
        <f>GETPIVOTDATA("Sum of OLD-Tot UG SCH Calc",'Pivot Table for Fact Book'!$A$3,"State","TN","type",15,"Type2","Four-Year")</f>
        <v>0</v>
      </c>
      <c r="O17" s="198">
        <f>GETPIVOTDATA("Sum of NEW-Tot UG SCH Calc",'Pivot Table for Fact Book'!$A$3,"State","TN","type",15,"Type2","Four-Year")</f>
        <v>0</v>
      </c>
      <c r="P17" s="199">
        <f>GETPIVOTDATA("Sum of OLD-Tot UG SCH Calc",'Pivot Table for Fact Book'!$A$3,"State","TN","Type2","Four-Year")</f>
        <v>3003215</v>
      </c>
      <c r="Q17" s="199">
        <f>GETPIVOTDATA("Sum of NEW-Tot UG SCH Calc",'Pivot Table for Fact Book'!$A$3,"State","TN","Type2","Four-Year")</f>
        <v>3030850</v>
      </c>
      <c r="R17" s="197">
        <f>GETPIVOTDATA("Sum of OLD-Tot UG SCH Calc",'Pivot Table for Fact Book'!$A$3,"State","TN","type",7,"Type2","Two-Year")</f>
        <v>0</v>
      </c>
      <c r="S17" s="200">
        <f>GETPIVOTDATA("Sum of NEW-Tot UG SCH Calc",'Pivot Table for Fact Book'!$A$3,"State","TN","type",7,"Type2","Two-Year")</f>
        <v>0</v>
      </c>
      <c r="T17" s="200">
        <f>GETPIVOTDATA("Sum of OLD-Tot UG SCH Calc",'Pivot Table for Fact Book'!$A$3,"State","TN","type",8,"Type2","Two-Year")</f>
        <v>653285</v>
      </c>
      <c r="U17" s="200">
        <f>GETPIVOTDATA("Sum of NEW-Tot UG SCH Calc",'Pivot Table for Fact Book'!$A$3,"State","TN","type",8,"Type2","Two-Year")</f>
        <v>717550</v>
      </c>
      <c r="V17" s="200">
        <f>GETPIVOTDATA("Sum of OLD-Tot UG SCH Calc",'Pivot Table for Fact Book'!$A$3,"State","TN","type",9,"Type2","Two-Year")</f>
        <v>1103557</v>
      </c>
      <c r="W17" s="200">
        <f>GETPIVOTDATA("Sum of NEW-Tot UG SCH Calc",'Pivot Table for Fact Book'!$A$3,"State","TN","type",9,"Type2","Two-Year")</f>
        <v>1195414</v>
      </c>
      <c r="X17" s="200">
        <f>GETPIVOTDATA("Sum of OLD-Tot UG SCH Calc",'Pivot Table for Fact Book'!$A$3,"State","TN","type",10,"Type2","Two-Year")</f>
        <v>61785</v>
      </c>
      <c r="Y17" s="200">
        <f>GETPIVOTDATA("Sum of NEW-Tot UG SCH Calc",'Pivot Table for Fact Book'!$A$3,"State","TN","type",10,"Type2","Two-Year")</f>
        <v>72924</v>
      </c>
      <c r="Z17" s="201">
        <f>GETPIVOTDATA("Sum of OLD-Tot UG SCH Calc",'Pivot Table for Fact Book'!$A$3,"State","TN","Type2","Two-Year")</f>
        <v>1818627</v>
      </c>
      <c r="AA17" s="201">
        <f>GETPIVOTDATA("Sum of NEW-Tot UG SCH Calc",'Pivot Table for Fact Book'!$A$3,"State","TN","Type2","Two-Year")</f>
        <v>1985888</v>
      </c>
      <c r="AB17" s="197">
        <f>GETPIVOTDATA("Sum of OLD-Tot UG SCH Calc",'Pivot Table for Fact Book'!$A$3,"State","TN","type",12,"Type2","Technical")</f>
        <v>0</v>
      </c>
      <c r="AC17" s="200">
        <f>GETPIVOTDATA("Sum of NEW-Tot UG SCH Calc",'Pivot Table for Fact Book'!$A$3,"State","TN","type",12,"Type2","Technical")</f>
        <v>0</v>
      </c>
      <c r="AD17" s="197">
        <f>GETPIVOTDATA("Sum of OLD-Tot UG SCH Calc",'Pivot Table for Fact Book'!$A$3,"State","TN","type",13,"Type2","Technical")</f>
        <v>11553299</v>
      </c>
      <c r="AE17" s="200">
        <f>GETPIVOTDATA("Sum of NEW-Tot UG SCH Calc",'Pivot Table for Fact Book'!$A$3,"State","TN","type",13,"Type2","Technical")</f>
        <v>0</v>
      </c>
      <c r="AF17" s="202">
        <f>GETPIVOTDATA("Sum of OLD-Tot UG SCH Calc",'Pivot Table for Fact Book'!$A$3,"State","TN","Type2","Technical")</f>
        <v>11553299</v>
      </c>
      <c r="AG17" s="203">
        <f>GETPIVOTDATA("Sum of NEW-Tot UG SCH Calc",'Pivot Table for Fact Book'!$A$3,"State","TN","Type2","Technical")</f>
        <v>0</v>
      </c>
      <c r="AH17" s="14"/>
    </row>
    <row r="18" spans="1:34">
      <c r="A18" s="196" t="s">
        <v>188</v>
      </c>
      <c r="B18" s="197">
        <f>GETPIVOTDATA("Sum of OLD-Tot UG SCH Calc",'Pivot Table for Fact Book'!$A$3,"State","TX","type",1,"Type2","Four-Year")</f>
        <v>4928585</v>
      </c>
      <c r="C18" s="198">
        <f>GETPIVOTDATA("Sum of NEW-Tot UG SCH Calc",'Pivot Table for Fact Book'!$A$3,"State","TX","type",1,"Type2","Four-Year")</f>
        <v>5122035</v>
      </c>
      <c r="D18" s="197">
        <f>GETPIVOTDATA("Sum of OLD-Tot UG SCH Calc",'Pivot Table for Fact Book'!$A$3,"State","TX","type",2,"Type2","Four-Year")</f>
        <v>1221849</v>
      </c>
      <c r="E18" s="198">
        <f>GETPIVOTDATA("Sum of NEW-Tot UG SCH Calc",'Pivot Table for Fact Book'!$A$3,"State","TX","type",2,"Type2","Four-Year")</f>
        <v>1275570</v>
      </c>
      <c r="F18" s="197">
        <f>GETPIVOTDATA("Sum of OLD-Tot UG SCH Calc",'Pivot Table for Fact Book'!$A$3,"State","TX","type",3,"Type2","Four-Year")</f>
        <v>3952401</v>
      </c>
      <c r="G18" s="198">
        <f>GETPIVOTDATA("Sum of NEW-Tot UG SCH Calc",'Pivot Table for Fact Book'!$A$3,"State","TX","type",3,"Type2","Four-Year")</f>
        <v>4096280</v>
      </c>
      <c r="H18" s="197">
        <f>GETPIVOTDATA("Sum of OLD-Tot UG SCH Calc",'Pivot Table for Fact Book'!$A$3,"State","TX","type",4,"Type2","Four-Year")</f>
        <v>132800</v>
      </c>
      <c r="I18" s="198">
        <f>GETPIVOTDATA("Sum of NEW-Tot UG SCH Calc",'Pivot Table for Fact Book'!$A$3,"State","TX","type",4,"Type2","Four-Year")</f>
        <v>150976</v>
      </c>
      <c r="J18" s="197">
        <f>GETPIVOTDATA("Sum of OLD-Tot UG SCH Calc",'Pivot Table for Fact Book'!$A$3,"State","TX","type",5,"Type2","Four-Year")</f>
        <v>276483</v>
      </c>
      <c r="K18" s="198">
        <f>GETPIVOTDATA("Sum of NEW-Tot UG SCH Calc",'Pivot Table for Fact Book'!$A$3,"State","TX","type",5,"Type2","Four-Year")</f>
        <v>281735</v>
      </c>
      <c r="L18" s="197">
        <f>GETPIVOTDATA("Sum of OLD-Tot UG SCH Calc",'Pivot Table for Fact Book'!$A$3,"State","TX","type",6,"Type2","Four-Year")</f>
        <v>49077</v>
      </c>
      <c r="M18" s="198">
        <f>GETPIVOTDATA("Sum of NEW-Tot UG SCH Calc",'Pivot Table for Fact Book'!$A$3,"State","TX","type",6,"Type2","Four-Year")</f>
        <v>49481</v>
      </c>
      <c r="N18" s="197">
        <f>GETPIVOTDATA("Sum of OLD-Tot UG SCH Calc",'Pivot Table for Fact Book'!$A$3,"State","TX","type",15,"Type2","Four-Year")</f>
        <v>0</v>
      </c>
      <c r="O18" s="198">
        <f>GETPIVOTDATA("Sum of NEW-Tot UG SCH Calc",'Pivot Table for Fact Book'!$A$3,"State","TX","type",15,"Type2","Four-Year")</f>
        <v>0</v>
      </c>
      <c r="P18" s="199">
        <f>GETPIVOTDATA("Sum of OLD-Tot UG SCH Calc",'Pivot Table for Fact Book'!$A$3,"State","TX","Type2","Four-Year")</f>
        <v>10561195</v>
      </c>
      <c r="Q18" s="199">
        <f>GETPIVOTDATA("Sum of NEW-Tot UG SCH Calc",'Pivot Table for Fact Book'!$A$3,"State","TX","Type2","Four-Year")</f>
        <v>10976077</v>
      </c>
      <c r="R18" s="197">
        <f>GETPIVOTDATA("Sum of OLD-Tot UG SCH Calc",'Pivot Table for Fact Book'!$A$3,"State","TX","type",7,"Type2","Two-Year")</f>
        <v>645990</v>
      </c>
      <c r="S18" s="200">
        <f>GETPIVOTDATA("Sum of NEW-Tot UG SCH Calc",'Pivot Table for Fact Book'!$A$3,"State","TX","type",7,"Type2","Two-Year")</f>
        <v>748106</v>
      </c>
      <c r="T18" s="200">
        <f>GETPIVOTDATA("Sum of OLD-Tot UG SCH Calc",'Pivot Table for Fact Book'!$A$3,"State","TX","type",8,"Type2","Two-Year")</f>
        <v>9530621</v>
      </c>
      <c r="U18" s="200">
        <f>GETPIVOTDATA("Sum of NEW-Tot UG SCH Calc",'Pivot Table for Fact Book'!$A$3,"State","TX","type",8,"Type2","Two-Year")</f>
        <v>10695061</v>
      </c>
      <c r="V18" s="200">
        <f>GETPIVOTDATA("Sum of OLD-Tot UG SCH Calc",'Pivot Table for Fact Book'!$A$3,"State","TX","type",9,"Type2","Two-Year")</f>
        <v>2566233</v>
      </c>
      <c r="W18" s="200">
        <f>GETPIVOTDATA("Sum of NEW-Tot UG SCH Calc",'Pivot Table for Fact Book'!$A$3,"State","TX","type",9,"Type2","Two-Year")</f>
        <v>2847815</v>
      </c>
      <c r="X18" s="200">
        <f>GETPIVOTDATA("Sum of OLD-Tot UG SCH Calc",'Pivot Table for Fact Book'!$A$3,"State","TX","type",10,"Type2","Two-Year")</f>
        <v>426690</v>
      </c>
      <c r="Y18" s="200">
        <f>GETPIVOTDATA("Sum of NEW-Tot UG SCH Calc",'Pivot Table for Fact Book'!$A$3,"State","TX","type",10,"Type2","Two-Year")</f>
        <v>481104</v>
      </c>
      <c r="Z18" s="201">
        <f>GETPIVOTDATA("Sum of OLD-Tot UG SCH Calc",'Pivot Table for Fact Book'!$A$3,"State","TX","Type2","Two-Year")</f>
        <v>13169534</v>
      </c>
      <c r="AA18" s="201">
        <f>GETPIVOTDATA("Sum of NEW-Tot UG SCH Calc",'Pivot Table for Fact Book'!$A$3,"State","TX","Type2","Two-Year")</f>
        <v>14772086</v>
      </c>
      <c r="AB18" s="197">
        <f>GETPIVOTDATA("Sum of OLD-Tot UG SCH Calc",'Pivot Table for Fact Book'!$A$3,"State","TX","type",12,"Type2","Technical")</f>
        <v>0</v>
      </c>
      <c r="AC18" s="200">
        <f>GETPIVOTDATA("Sum of NEW-Tot UG SCH Calc",'Pivot Table for Fact Book'!$A$3,"State","TX","type",12,"Type2","Technical")</f>
        <v>0</v>
      </c>
      <c r="AD18" s="197">
        <f>GETPIVOTDATA("Sum of OLD-Tot UG SCH Calc",'Pivot Table for Fact Book'!$A$3,"State","TX","type",13,"Type2","Technical")</f>
        <v>0</v>
      </c>
      <c r="AE18" s="200">
        <f>GETPIVOTDATA("Sum of NEW-Tot UG SCH Calc",'Pivot Table for Fact Book'!$A$3,"State","TX","type",13,"Type2","Technical")</f>
        <v>0</v>
      </c>
      <c r="AF18" s="202">
        <f>GETPIVOTDATA("Sum of OLD-Tot UG SCH Calc",'Pivot Table for Fact Book'!$A$3,"State","TX","Type2","Technical")</f>
        <v>0</v>
      </c>
      <c r="AG18" s="203">
        <f>GETPIVOTDATA("Sum of NEW-Tot UG SCH Calc",'Pivot Table for Fact Book'!$A$3,"State","TX","Type2","Technical")</f>
        <v>0</v>
      </c>
      <c r="AH18" s="14"/>
    </row>
    <row r="19" spans="1:34">
      <c r="A19" s="196" t="s">
        <v>189</v>
      </c>
      <c r="B19" s="197">
        <f>GETPIVOTDATA("Sum of OLD-Tot UG SCH Calc",'Pivot Table for Fact Book'!$A$3,"State","VA","type",1,"Type2","Four-Year")</f>
        <v>0</v>
      </c>
      <c r="C19" s="198">
        <f>GETPIVOTDATA("Sum of NEW-Tot UG SCH Calc",'Pivot Table for Fact Book'!$A$3,"State","VA","type",1,"Type2","Four-Year")</f>
        <v>2239653.5</v>
      </c>
      <c r="D19" s="197">
        <f>GETPIVOTDATA("Sum of OLD-Tot UG SCH Calc",'Pivot Table for Fact Book'!$A$3,"State","VA","type",2,"Type2","Four-Year")</f>
        <v>0</v>
      </c>
      <c r="E19" s="198">
        <f>GETPIVOTDATA("Sum of NEW-Tot UG SCH Calc",'Pivot Table for Fact Book'!$A$3,"State","VA","type",2,"Type2","Four-Year")</f>
        <v>817799</v>
      </c>
      <c r="F19" s="197">
        <f>GETPIVOTDATA("Sum of OLD-Tot UG SCH Calc",'Pivot Table for Fact Book'!$A$3,"State","VA","type",3,"Type2","Four-Year")</f>
        <v>0</v>
      </c>
      <c r="G19" s="198">
        <f>GETPIVOTDATA("Sum of NEW-Tot UG SCH Calc",'Pivot Table for Fact Book'!$A$3,"State","VA","type",3,"Type2","Four-Year")</f>
        <v>667628</v>
      </c>
      <c r="H19" s="197">
        <f>GETPIVOTDATA("Sum of OLD-Tot UG SCH Calc",'Pivot Table for Fact Book'!$A$3,"State","VA","type",4,"Type2","Four-Year")</f>
        <v>0</v>
      </c>
      <c r="I19" s="198">
        <f>GETPIVOTDATA("Sum of NEW-Tot UG SCH Calc",'Pivot Table for Fact Book'!$A$3,"State","VA","type",4,"Type2","Four-Year")</f>
        <v>512517</v>
      </c>
      <c r="J19" s="197">
        <f>GETPIVOTDATA("Sum of OLD-Tot UG SCH Calc",'Pivot Table for Fact Book'!$A$3,"State","VA","type",5,"Type2","Four-Year")</f>
        <v>0</v>
      </c>
      <c r="K19" s="198">
        <f>GETPIVOTDATA("Sum of NEW-Tot UG SCH Calc",'Pivot Table for Fact Book'!$A$3,"State","VA","type",5,"Type2","Four-Year")</f>
        <v>264323</v>
      </c>
      <c r="L19" s="197">
        <f>GETPIVOTDATA("Sum of OLD-Tot UG SCH Calc",'Pivot Table for Fact Book'!$A$3,"State","VA","type",6,"Type2","Four-Year")</f>
        <v>0</v>
      </c>
      <c r="M19" s="198">
        <f>GETPIVOTDATA("Sum of NEW-Tot UG SCH Calc",'Pivot Table for Fact Book'!$A$3,"State","VA","type",6,"Type2","Four-Year")</f>
        <v>50690.3</v>
      </c>
      <c r="N19" s="197">
        <f>GETPIVOTDATA("Sum of OLD-Tot UG SCH Calc",'Pivot Table for Fact Book'!$A$3,"State","VA","type",15,"Type2","Four-Year")</f>
        <v>0</v>
      </c>
      <c r="O19" s="198">
        <f>GETPIVOTDATA("Sum of NEW-Tot UG SCH Calc",'Pivot Table for Fact Book'!$A$3,"State","VA","type",15,"Type2","Four-Year")</f>
        <v>0</v>
      </c>
      <c r="P19" s="199">
        <f>GETPIVOTDATA("Sum of OLD-Tot UG SCH Calc",'Pivot Table for Fact Book'!$A$3,"State","VA","Type2","Four-Year")</f>
        <v>0</v>
      </c>
      <c r="Q19" s="199">
        <f>GETPIVOTDATA("Sum of NEW-Tot UG SCH Calc",'Pivot Table for Fact Book'!$A$3,"State","VA","Type2","Four-Year")</f>
        <v>4552610.8</v>
      </c>
      <c r="R19" s="197">
        <f>GETPIVOTDATA("Sum of OLD-Tot UG SCH Calc",'Pivot Table for Fact Book'!$A$3,"State","VA","type",7,"Type2","Two-Year")</f>
        <v>0</v>
      </c>
      <c r="S19" s="200">
        <f>GETPIVOTDATA("Sum of NEW-Tot UG SCH Calc",'Pivot Table for Fact Book'!$A$3,"State","VA","type",7,"Type2","Two-Year")</f>
        <v>0</v>
      </c>
      <c r="T19" s="200">
        <f>GETPIVOTDATA("Sum of OLD-Tot UG SCH Calc",'Pivot Table for Fact Book'!$A$3,"State","VA","type",8,"Type2","Two-Year")</f>
        <v>0</v>
      </c>
      <c r="U19" s="200">
        <f>GETPIVOTDATA("Sum of NEW-Tot UG SCH Calc",'Pivot Table for Fact Book'!$A$3,"State","VA","type",8,"Type2","Two-Year")</f>
        <v>2108344</v>
      </c>
      <c r="V19" s="200">
        <f>GETPIVOTDATA("Sum of OLD-Tot UG SCH Calc",'Pivot Table for Fact Book'!$A$3,"State","VA","type",9,"Type2","Two-Year")</f>
        <v>0</v>
      </c>
      <c r="W19" s="200">
        <f>GETPIVOTDATA("Sum of NEW-Tot UG SCH Calc",'Pivot Table for Fact Book'!$A$3,"State","VA","type",9,"Type2","Two-Year")</f>
        <v>1231178</v>
      </c>
      <c r="X19" s="200">
        <f>GETPIVOTDATA("Sum of OLD-Tot UG SCH Calc",'Pivot Table for Fact Book'!$A$3,"State","VA","type",10,"Type2","Two-Year")</f>
        <v>0</v>
      </c>
      <c r="Y19" s="200">
        <f>GETPIVOTDATA("Sum of NEW-Tot UG SCH Calc",'Pivot Table for Fact Book'!$A$3,"State","VA","type",10,"Type2","Two-Year")</f>
        <v>443292</v>
      </c>
      <c r="Z19" s="201">
        <f>GETPIVOTDATA("Sum of OLD-Tot UG SCH Calc",'Pivot Table for Fact Book'!$A$3,"State","VA","Type2","Two-Year")</f>
        <v>0</v>
      </c>
      <c r="AA19" s="201">
        <f>GETPIVOTDATA("Sum of NEW-Tot UG SCH Calc",'Pivot Table for Fact Book'!$A$3,"State","VA","Type2","Two-Year")</f>
        <v>3782814</v>
      </c>
      <c r="AB19" s="197">
        <f>GETPIVOTDATA("Sum of OLD-Tot UG SCH Calc",'Pivot Table for Fact Book'!$A$3,"State","VA","type",12,"Type2","Technical")</f>
        <v>0</v>
      </c>
      <c r="AC19" s="200">
        <f>GETPIVOTDATA("Sum of NEW-Tot UG SCH Calc",'Pivot Table for Fact Book'!$A$3,"State","VA","type",12,"Type2","Technical")</f>
        <v>0</v>
      </c>
      <c r="AD19" s="197">
        <f>GETPIVOTDATA("Sum of OLD-Tot UG SCH Calc",'Pivot Table for Fact Book'!$A$3,"State","VA","type",13,"Type2","Technical")</f>
        <v>0</v>
      </c>
      <c r="AE19" s="200">
        <f>GETPIVOTDATA("Sum of NEW-Tot UG SCH Calc",'Pivot Table for Fact Book'!$A$3,"State","VA","type",13,"Type2","Technical")</f>
        <v>0</v>
      </c>
      <c r="AF19" s="202">
        <f>GETPIVOTDATA("Sum of OLD-Tot UG SCH Calc",'Pivot Table for Fact Book'!$A$3,"State","VA","Type2","Technical")</f>
        <v>0</v>
      </c>
      <c r="AG19" s="203">
        <f>GETPIVOTDATA("Sum of NEW-Tot UG SCH Calc",'Pivot Table for Fact Book'!$A$3,"State","VA","Type2","Technical")</f>
        <v>0</v>
      </c>
      <c r="AH19" s="14"/>
    </row>
    <row r="20" spans="1:34">
      <c r="A20" s="196" t="s">
        <v>190</v>
      </c>
      <c r="B20" s="197">
        <f>GETPIVOTDATA("Sum of OLD-Tot UG SCH Calc",'Pivot Table for Fact Book'!$A$3,"State","WV","type",1,"Type2","Four-Year")</f>
        <v>643635</v>
      </c>
      <c r="C20" s="198">
        <f>GETPIVOTDATA("Sum of NEW-Tot UG SCH Calc",'Pivot Table for Fact Book'!$A$3,"State","WV","type",1,"Type2","Four-Year")</f>
        <v>650374</v>
      </c>
      <c r="D20" s="197">
        <f>GETPIVOTDATA("Sum of OLD-Tot UG SCH Calc",'Pivot Table for Fact Book'!$A$3,"State","WV","type",2,"Type2","Four-Year")</f>
        <v>0</v>
      </c>
      <c r="E20" s="198">
        <f>GETPIVOTDATA("Sum of NEW-Tot UG SCH Calc",'Pivot Table for Fact Book'!$A$3,"State","WV","type",2,"Type2","Four-Year")</f>
        <v>0</v>
      </c>
      <c r="F20" s="197">
        <f>GETPIVOTDATA("Sum of OLD-Tot UG SCH Calc",'Pivot Table for Fact Book'!$A$3,"State","WV","type",3,"Type2","Four-Year")</f>
        <v>254769</v>
      </c>
      <c r="G20" s="198">
        <f>GETPIVOTDATA("Sum of NEW-Tot UG SCH Calc",'Pivot Table for Fact Book'!$A$3,"State","WV","type",3,"Type2","Four-Year")</f>
        <v>268026</v>
      </c>
      <c r="H20" s="197">
        <f>GETPIVOTDATA("Sum of OLD-Tot UG SCH Calc",'Pivot Table for Fact Book'!$A$3,"State","WV","type",4,"Type2","Four-Year")</f>
        <v>0</v>
      </c>
      <c r="I20" s="198">
        <f>GETPIVOTDATA("Sum of NEW-Tot UG SCH Calc",'Pivot Table for Fact Book'!$A$3,"State","WV","type",4,"Type2","Four-Year")</f>
        <v>0</v>
      </c>
      <c r="J20" s="197">
        <f>GETPIVOTDATA("Sum of OLD-Tot UG SCH Calc",'Pivot Table for Fact Book'!$A$3,"State","WV","type",5,"Type2","Four-Year")</f>
        <v>223336</v>
      </c>
      <c r="K20" s="198">
        <f>GETPIVOTDATA("Sum of NEW-Tot UG SCH Calc",'Pivot Table for Fact Book'!$A$3,"State","WV","type",5,"Type2","Four-Year")</f>
        <v>229207</v>
      </c>
      <c r="L20" s="197">
        <f>GETPIVOTDATA("Sum of OLD-Tot UG SCH Calc",'Pivot Table for Fact Book'!$A$3,"State","WV","type",6,"Type2","Four-Year")</f>
        <v>354607</v>
      </c>
      <c r="M20" s="198">
        <f>GETPIVOTDATA("Sum of NEW-Tot UG SCH Calc",'Pivot Table for Fact Book'!$A$3,"State","WV","type",6,"Type2","Four-Year")</f>
        <v>365992</v>
      </c>
      <c r="N20" s="197">
        <f>GETPIVOTDATA("Sum of OLD-Tot UG SCH Calc",'Pivot Table for Fact Book'!$A$3,"State","WV","type",15,"Type2","Four-Year")</f>
        <v>0</v>
      </c>
      <c r="O20" s="198">
        <f>GETPIVOTDATA("Sum of NEW-Tot UG SCH Calc",'Pivot Table for Fact Book'!$A$3,"State","WV","type",15,"Type2","Four-Year")</f>
        <v>0</v>
      </c>
      <c r="P20" s="199">
        <f>GETPIVOTDATA("Sum of OLD-Tot UG SCH Calc",'Pivot Table for Fact Book'!$A$3,"State","WV","Type2","Four-Year")</f>
        <v>1476347</v>
      </c>
      <c r="Q20" s="199">
        <f>GETPIVOTDATA("Sum of NEW-Tot UG SCH Calc",'Pivot Table for Fact Book'!$A$3,"State","WV","Type2","Four-Year")</f>
        <v>1513599</v>
      </c>
      <c r="R20" s="197">
        <f>GETPIVOTDATA("Sum of OLD-Tot UG SCH Calc",'Pivot Table for Fact Book'!$A$3,"State","WV","type",7,"Type2","Two-Year")</f>
        <v>134095</v>
      </c>
      <c r="S20" s="200">
        <f>GETPIVOTDATA("Sum of NEW-Tot UG SCH Calc",'Pivot Table for Fact Book'!$A$3,"State","WV","type",7,"Type2","Two-Year")</f>
        <v>149791</v>
      </c>
      <c r="T20" s="200">
        <f>GETPIVOTDATA("Sum of OLD-Tot UG SCH Calc",'Pivot Table for Fact Book'!$A$3,"State","WV","type",8,"Type2","Two-Year")</f>
        <v>0</v>
      </c>
      <c r="U20" s="200">
        <f>GETPIVOTDATA("Sum of NEW-Tot UG SCH Calc",'Pivot Table for Fact Book'!$A$3,"State","WV","type",8,"Type2","Two-Year")</f>
        <v>0</v>
      </c>
      <c r="V20" s="200">
        <f>GETPIVOTDATA("Sum of OLD-Tot UG SCH Calc",'Pivot Table for Fact Book'!$A$3,"State","WV","type",9,"Type2","Two-Year")</f>
        <v>0</v>
      </c>
      <c r="W20" s="200">
        <f>GETPIVOTDATA("Sum of NEW-Tot UG SCH Calc",'Pivot Table for Fact Book'!$A$3,"State","WV","type",9,"Type2","Two-Year")</f>
        <v>0</v>
      </c>
      <c r="X20" s="200">
        <f>GETPIVOTDATA("Sum of OLD-Tot UG SCH Calc",'Pivot Table for Fact Book'!$A$3,"State","WV","type",10,"Type2","Two-Year")</f>
        <v>392384</v>
      </c>
      <c r="Y20" s="200">
        <f>GETPIVOTDATA("Sum of NEW-Tot UG SCH Calc",'Pivot Table for Fact Book'!$A$3,"State","WV","type",10,"Type2","Two-Year")</f>
        <v>435332</v>
      </c>
      <c r="Z20" s="201">
        <f>GETPIVOTDATA("Sum of OLD-Tot UG SCH Calc",'Pivot Table for Fact Book'!$A$3,"State","WV","Type2","Two-Year")</f>
        <v>526479</v>
      </c>
      <c r="AA20" s="201">
        <f>GETPIVOTDATA("Sum of NEW-Tot UG SCH Calc",'Pivot Table for Fact Book'!$A$3,"State","WV","Type2","Two-Year")</f>
        <v>585123</v>
      </c>
      <c r="AB20" s="197">
        <f>GETPIVOTDATA("Sum of OLD-Tot UG SCH Calc",'Pivot Table for Fact Book'!$A$3,"State","WV","type",12,"Type2","Technical")</f>
        <v>0</v>
      </c>
      <c r="AC20" s="200">
        <f>GETPIVOTDATA("Sum of NEW-Tot UG SCH Calc",'Pivot Table for Fact Book'!$A$3,"State","WV","type",12,"Type2","Technical")</f>
        <v>0</v>
      </c>
      <c r="AD20" s="197">
        <f>GETPIVOTDATA("Sum of OLD-Tot UG SCH Calc",'Pivot Table for Fact Book'!$A$3,"State","WV","type",13,"Type2","Technical")</f>
        <v>0</v>
      </c>
      <c r="AE20" s="200">
        <f>GETPIVOTDATA("Sum of NEW-Tot UG SCH Calc",'Pivot Table for Fact Book'!$A$3,"State","WV","type",13,"Type2","Technical")</f>
        <v>0</v>
      </c>
      <c r="AF20" s="202">
        <f>GETPIVOTDATA("Sum of OLD-Tot UG SCH Calc",'Pivot Table for Fact Book'!$A$3,"State","WV","Type2","Technical")</f>
        <v>0</v>
      </c>
      <c r="AG20" s="203">
        <f>GETPIVOTDATA("Sum of NEW-Tot UG SCH Calc",'Pivot Table for Fact Book'!$A$3,"State","WV","Type2","Technical")</f>
        <v>0</v>
      </c>
      <c r="AH20" s="14"/>
    </row>
    <row r="21" spans="1:3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c r="A22" s="62" t="s">
        <v>232</v>
      </c>
    </row>
    <row r="23" spans="1:34">
      <c r="B23" s="181" t="s">
        <v>228</v>
      </c>
      <c r="C23" s="182"/>
      <c r="D23" s="182"/>
      <c r="E23" s="182"/>
      <c r="F23" s="182"/>
      <c r="G23" s="182"/>
      <c r="H23" s="182"/>
      <c r="I23" s="182"/>
      <c r="J23" s="182"/>
      <c r="K23" s="182"/>
      <c r="L23" s="182"/>
      <c r="M23" s="182"/>
      <c r="N23" s="182"/>
      <c r="O23" s="182"/>
      <c r="P23" s="182"/>
      <c r="Q23" s="183"/>
      <c r="R23" s="184" t="s">
        <v>229</v>
      </c>
      <c r="S23" s="185"/>
      <c r="T23" s="185"/>
      <c r="U23" s="185"/>
      <c r="V23" s="185"/>
      <c r="W23" s="185"/>
      <c r="X23" s="185"/>
      <c r="Y23" s="185"/>
      <c r="Z23" s="185"/>
      <c r="AA23" s="186"/>
      <c r="AB23" s="187" t="s">
        <v>230</v>
      </c>
      <c r="AC23" s="188"/>
      <c r="AD23" s="188"/>
      <c r="AE23" s="188"/>
      <c r="AF23" s="188"/>
      <c r="AG23" s="188"/>
    </row>
    <row r="24" spans="1:34">
      <c r="B24" s="189">
        <v>1</v>
      </c>
      <c r="C24" s="190"/>
      <c r="D24" s="189">
        <v>2</v>
      </c>
      <c r="E24" s="190"/>
      <c r="F24" s="189">
        <v>3</v>
      </c>
      <c r="G24" s="190"/>
      <c r="H24" s="189">
        <v>4</v>
      </c>
      <c r="I24" s="190"/>
      <c r="J24" s="189">
        <v>5</v>
      </c>
      <c r="K24" s="190"/>
      <c r="L24" s="189">
        <v>6</v>
      </c>
      <c r="M24" s="190"/>
      <c r="N24" s="189">
        <v>15</v>
      </c>
      <c r="O24" s="190"/>
      <c r="P24" s="189" t="s">
        <v>231</v>
      </c>
      <c r="Q24" s="191"/>
      <c r="R24" s="192">
        <v>7</v>
      </c>
      <c r="S24" s="193"/>
      <c r="T24" s="192">
        <v>8</v>
      </c>
      <c r="U24" s="193"/>
      <c r="V24" s="192">
        <v>9</v>
      </c>
      <c r="W24" s="193"/>
      <c r="X24" s="192">
        <v>10</v>
      </c>
      <c r="Y24" s="193"/>
      <c r="Z24" s="192" t="s">
        <v>231</v>
      </c>
      <c r="AA24" s="193"/>
      <c r="AB24" s="194">
        <v>12</v>
      </c>
      <c r="AC24" s="195"/>
      <c r="AD24" s="194">
        <v>13</v>
      </c>
      <c r="AE24" s="195"/>
      <c r="AF24" s="194" t="s">
        <v>231</v>
      </c>
      <c r="AG24" s="195"/>
    </row>
    <row r="25" spans="1:34">
      <c r="B25" s="324">
        <v>2009</v>
      </c>
      <c r="C25" s="325">
        <v>2010</v>
      </c>
      <c r="D25" s="324">
        <v>2009</v>
      </c>
      <c r="E25" s="325">
        <v>2010</v>
      </c>
      <c r="F25" s="324">
        <v>2009</v>
      </c>
      <c r="G25" s="325">
        <v>2010</v>
      </c>
      <c r="H25" s="324">
        <v>2009</v>
      </c>
      <c r="I25" s="325">
        <v>2010</v>
      </c>
      <c r="J25" s="324">
        <v>2009</v>
      </c>
      <c r="K25" s="325">
        <v>2010</v>
      </c>
      <c r="L25" s="324">
        <v>2009</v>
      </c>
      <c r="M25" s="325">
        <v>2010</v>
      </c>
      <c r="N25" s="324">
        <v>2009</v>
      </c>
      <c r="O25" s="325">
        <v>2010</v>
      </c>
      <c r="P25" s="324">
        <v>2009</v>
      </c>
      <c r="Q25" s="325">
        <v>2010</v>
      </c>
      <c r="R25" s="326">
        <v>2009</v>
      </c>
      <c r="S25" s="327">
        <v>2010</v>
      </c>
      <c r="T25" s="326">
        <v>2009</v>
      </c>
      <c r="U25" s="327">
        <v>2010</v>
      </c>
      <c r="V25" s="326">
        <v>2009</v>
      </c>
      <c r="W25" s="327">
        <v>2010</v>
      </c>
      <c r="X25" s="326">
        <v>2009</v>
      </c>
      <c r="Y25" s="327">
        <v>2010</v>
      </c>
      <c r="Z25" s="326">
        <v>2009</v>
      </c>
      <c r="AA25" s="327">
        <v>2010</v>
      </c>
      <c r="AB25" s="328">
        <v>2009</v>
      </c>
      <c r="AC25" s="329">
        <v>2010</v>
      </c>
      <c r="AD25" s="328">
        <v>2009</v>
      </c>
      <c r="AE25" s="329">
        <v>2010</v>
      </c>
      <c r="AF25" s="328">
        <v>2009</v>
      </c>
      <c r="AG25" s="329">
        <v>2010</v>
      </c>
      <c r="AH25" s="14"/>
    </row>
    <row r="26" spans="1:34">
      <c r="A26" s="196" t="s">
        <v>175</v>
      </c>
      <c r="B26" s="197">
        <f>GETPIVOTDATA("Sum of Old UG E-Learning",'Pivot Table for Fact Book'!$A$3,"State","AL","type",1,"Type2","Four-Year")</f>
        <v>57832</v>
      </c>
      <c r="C26" s="198">
        <f>GETPIVOTDATA("Sum of New UG E-Learning",'Pivot Table for Fact Book'!$A$3,"State","AL","type",1,"Type2","Four-Year")</f>
        <v>65970</v>
      </c>
      <c r="D26" s="197">
        <f>GETPIVOTDATA("Sum of Old UG E-Learning",'Pivot Table for Fact Book'!$A$3,"State","AL","type",2,"Type2","Four-Year")</f>
        <v>1091</v>
      </c>
      <c r="E26" s="198">
        <f>GETPIVOTDATA("Sum of New UG E-Learning",'Pivot Table for Fact Book'!$A$3,"State","AL","type",2,"Type2","Four-Year")</f>
        <v>1991</v>
      </c>
      <c r="F26" s="197">
        <f>GETPIVOTDATA("Sum of Old UG E-Learning",'Pivot Table for Fact Book'!$A$3,"State","AL","type",3,"Type2","Four-Year")</f>
        <v>132909</v>
      </c>
      <c r="G26" s="198">
        <f>GETPIVOTDATA("Sum of New UG E-Learning",'Pivot Table for Fact Book'!$A$3,"State","AL","type",3,"Type2","Four-Year")</f>
        <v>157476</v>
      </c>
      <c r="H26" s="197">
        <f>GETPIVOTDATA("Sum of Old UG E-Learning",'Pivot Table for Fact Book'!$A$3,"State","AL","type",4,"Type2","Four-Year")</f>
        <v>27298</v>
      </c>
      <c r="I26" s="198">
        <f>GETPIVOTDATA("Sum of New UG E-Learning",'Pivot Table for Fact Book'!$A$3,"State","AL","type",4,"Type2","Four-Year")</f>
        <v>40275</v>
      </c>
      <c r="J26" s="197">
        <f>GETPIVOTDATA("Sum of Old UG E-Learning",'Pivot Table for Fact Book'!$A$3,"State","AL","type",5,"Type2","Four-Year")</f>
        <v>3421</v>
      </c>
      <c r="K26" s="198">
        <f>GETPIVOTDATA("Sum of New UG E-Learning",'Pivot Table for Fact Book'!$A$3,"State","AL","type",5,"Type2","Four-Year")</f>
        <v>3794</v>
      </c>
      <c r="L26" s="197">
        <f>GETPIVOTDATA("Sum of Old UG E-Learning",'Pivot Table for Fact Book'!$A$3,"State","AL","type",6,"Type2","Four-Year")</f>
        <v>58559</v>
      </c>
      <c r="M26" s="198">
        <f>GETPIVOTDATA("Sum of New UG E-Learning",'Pivot Table for Fact Book'!$A$3,"State","AL","type",6,"Type2","Four-Year")</f>
        <v>63163</v>
      </c>
      <c r="N26" s="197">
        <f>GETPIVOTDATA("Sum of Old UG E-Learning",'Pivot Table for Fact Book'!$A$3,"State","AL","type",15,"Type2","Four-Year")</f>
        <v>0</v>
      </c>
      <c r="O26" s="198">
        <f>GETPIVOTDATA("Sum of New UG E-Learning",'Pivot Table for Fact Book'!$A$3,"State","AL","type",15,"Type2","Four-Year")</f>
        <v>0</v>
      </c>
      <c r="P26" s="199">
        <f>GETPIVOTDATA("Sum of Old UG E-Learning",'Pivot Table for Fact Book'!$A$3,"State","AL","Type2","Four-Year")</f>
        <v>281110</v>
      </c>
      <c r="Q26" s="199">
        <f>GETPIVOTDATA("Sum of New UG E-Learning",'Pivot Table for Fact Book'!$A$3,"State","AL","Type2","Four-Year")</f>
        <v>332669</v>
      </c>
      <c r="R26" s="197">
        <f>GETPIVOTDATA("Sum of Old UG E-Learning",'Pivot Table for Fact Book'!$A$3,"State","AL","type",7,"Type2","Two-Year")</f>
        <v>0</v>
      </c>
      <c r="S26" s="200">
        <f>GETPIVOTDATA("Sum of New UG E-Learning",'Pivot Table for Fact Book'!$A$3,"State","AL","type",7,"Type2","Two-Year")</f>
        <v>0</v>
      </c>
      <c r="T26" s="200">
        <f>GETPIVOTDATA("Sum of Old UG E-Learning",'Pivot Table for Fact Book'!$A$3,"State","AL","type",8,"Type2","Two-Year")</f>
        <v>56646</v>
      </c>
      <c r="U26" s="200">
        <f>GETPIVOTDATA("Sum of New UG E-Learning",'Pivot Table for Fact Book'!$A$3,"State","AL","type",8,"Type2","Two-Year")</f>
        <v>89211</v>
      </c>
      <c r="V26" s="200">
        <f>GETPIVOTDATA("Sum of Old UG E-Learning",'Pivot Table for Fact Book'!$A$3,"State","AL","type",9,"Type2","Two-Year")</f>
        <v>162237</v>
      </c>
      <c r="W26" s="200">
        <f>GETPIVOTDATA("Sum of New UG E-Learning",'Pivot Table for Fact Book'!$A$3,"State","AL","type",9,"Type2","Two-Year")</f>
        <v>210133</v>
      </c>
      <c r="X26" s="200">
        <f>GETPIVOTDATA("Sum of Old UG E-Learning",'Pivot Table for Fact Book'!$A$3,"State","AL","type",10,"Type2","Two-Year")</f>
        <v>73329</v>
      </c>
      <c r="Y26" s="200">
        <f>GETPIVOTDATA("Sum of New UG E-Learning",'Pivot Table for Fact Book'!$A$3,"State","AL","type",10,"Type2","Two-Year")</f>
        <v>82839</v>
      </c>
      <c r="Z26" s="201">
        <f>GETPIVOTDATA("Sum of Old UG E-Learning",'Pivot Table for Fact Book'!$A$3,"State","AL","Type2","Two-Year")</f>
        <v>292212</v>
      </c>
      <c r="AA26" s="201">
        <f>GETPIVOTDATA("Sum of New UG E-Learning",'Pivot Table for Fact Book'!$A$3,"State","AL","Type2","Two-Year")</f>
        <v>382183</v>
      </c>
      <c r="AB26" s="197">
        <f>GETPIVOTDATA("Sum of Old UG E-Learning",'Pivot Table for Fact Book'!$A$3,"State","AL","type",12,"Type2","Technical")</f>
        <v>4551</v>
      </c>
      <c r="AC26" s="200">
        <f>GETPIVOTDATA("Sum of New UG E-Learning",'Pivot Table for Fact Book'!$A$3,"State","AL","type",12,"Type2","Technical")</f>
        <v>3740</v>
      </c>
      <c r="AD26" s="200">
        <f>GETPIVOTDATA("Sum of Old UG E-Learning",'Pivot Table for Fact Book'!$A$3,"State","AL","type",13,"Type2","Technical")</f>
        <v>0</v>
      </c>
      <c r="AE26" s="200">
        <f>GETPIVOTDATA("Sum of New UG E-Learning",'Pivot Table for Fact Book'!$A$3,"State","AL","type",13,"Type2","Technical")</f>
        <v>6456</v>
      </c>
      <c r="AF26" s="203">
        <f>GETPIVOTDATA("Sum of Old UG E-Learning",'Pivot Table for Fact Book'!$A$3,"State","AL","Type2","Technical")</f>
        <v>4551</v>
      </c>
      <c r="AG26" s="203">
        <f>GETPIVOTDATA("Sum of New UG E-Learning",'Pivot Table for Fact Book'!$A$3,"State","AL","Type2","Technical")</f>
        <v>10196</v>
      </c>
      <c r="AH26" s="14"/>
    </row>
    <row r="27" spans="1:34">
      <c r="A27" s="196" t="s">
        <v>176</v>
      </c>
      <c r="B27" s="197">
        <f>GETPIVOTDATA("Sum of Old UG E-Learning",'Pivot Table for Fact Book'!$A$3,"State","AR","type",1,"Type2","Four-Year")</f>
        <v>9164</v>
      </c>
      <c r="C27" s="198">
        <f>GETPIVOTDATA("Sum of New UG E-Learning",'Pivot Table for Fact Book'!$A$3,"State","AR","type",1,"Type2","Four-Year")</f>
        <v>15109</v>
      </c>
      <c r="D27" s="197">
        <f>GETPIVOTDATA("Sum of Old UG E-Learning",'Pivot Table for Fact Book'!$A$3,"State","AR","type",2,"Type2","Four-Year")</f>
        <v>0</v>
      </c>
      <c r="E27" s="198">
        <f>GETPIVOTDATA("Sum of New UG E-Learning",'Pivot Table for Fact Book'!$A$3,"State","AR","type",2,"Type2","Four-Year")</f>
        <v>0</v>
      </c>
      <c r="F27" s="197">
        <f>GETPIVOTDATA("Sum of Old UG E-Learning",'Pivot Table for Fact Book'!$A$3,"State","AR","type",3,"Type2","Four-Year")</f>
        <v>105437</v>
      </c>
      <c r="G27" s="198">
        <f>GETPIVOTDATA("Sum of New UG E-Learning",'Pivot Table for Fact Book'!$A$3,"State","AR","type",3,"Type2","Four-Year")</f>
        <v>118459</v>
      </c>
      <c r="H27" s="197">
        <f>GETPIVOTDATA("Sum of Old UG E-Learning",'Pivot Table for Fact Book'!$A$3,"State","AR","type",4,"Type2","Four-Year")</f>
        <v>30996</v>
      </c>
      <c r="I27" s="198">
        <f>GETPIVOTDATA("Sum of New UG E-Learning",'Pivot Table for Fact Book'!$A$3,"State","AR","type",4,"Type2","Four-Year")</f>
        <v>38099</v>
      </c>
      <c r="J27" s="197">
        <f>GETPIVOTDATA("Sum of Old UG E-Learning",'Pivot Table for Fact Book'!$A$3,"State","AR","type",5,"Type2","Four-Year")</f>
        <v>15504</v>
      </c>
      <c r="K27" s="198">
        <f>GETPIVOTDATA("Sum of New UG E-Learning",'Pivot Table for Fact Book'!$A$3,"State","AR","type",5,"Type2","Four-Year")</f>
        <v>17482</v>
      </c>
      <c r="L27" s="197">
        <f>GETPIVOTDATA("Sum of Old UG E-Learning",'Pivot Table for Fact Book'!$A$3,"State","AR","type",6,"Type2","Four-Year")</f>
        <v>30171</v>
      </c>
      <c r="M27" s="198">
        <f>GETPIVOTDATA("Sum of New UG E-Learning",'Pivot Table for Fact Book'!$A$3,"State","AR","type",6,"Type2","Four-Year")</f>
        <v>30094</v>
      </c>
      <c r="N27" s="197">
        <f>GETPIVOTDATA("Sum of Old UG E-Learning",'Pivot Table for Fact Book'!$A$3,"State","AR","type",15,"Type2","Four-Year")</f>
        <v>0</v>
      </c>
      <c r="O27" s="198">
        <f>GETPIVOTDATA("Sum of New UG E-Learning",'Pivot Table for Fact Book'!$A$3,"State","AR","type",15,"Type2","Four-Year")</f>
        <v>0</v>
      </c>
      <c r="P27" s="199">
        <f>GETPIVOTDATA("Sum of Old UG E-Learning",'Pivot Table for Fact Book'!$A$3,"State","AR","Type2","Four-Year")</f>
        <v>191272</v>
      </c>
      <c r="Q27" s="199">
        <f>GETPIVOTDATA("Sum of New UG E-Learning",'Pivot Table for Fact Book'!$A$3,"State","AR","Type2","Four-Year")</f>
        <v>219243</v>
      </c>
      <c r="R27" s="197">
        <f>GETPIVOTDATA("Sum of Old UG E-Learning",'Pivot Table for Fact Book'!$A$3,"State","AR","type",7,"Type2","Two-Year")</f>
        <v>0</v>
      </c>
      <c r="S27" s="200">
        <f>GETPIVOTDATA("Sum of New UG E-Learning",'Pivot Table for Fact Book'!$A$3,"State","AR","type",7,"Type2","Two-Year")</f>
        <v>0</v>
      </c>
      <c r="T27" s="200">
        <f>GETPIVOTDATA("Sum of Old UG E-Learning",'Pivot Table for Fact Book'!$A$3,"State","AR","type",8,"Type2","Two-Year")</f>
        <v>62285</v>
      </c>
      <c r="U27" s="200">
        <f>GETPIVOTDATA("Sum of New UG E-Learning",'Pivot Table for Fact Book'!$A$3,"State","AR","type",8,"Type2","Two-Year")</f>
        <v>77907</v>
      </c>
      <c r="V27" s="200">
        <f>GETPIVOTDATA("Sum of Old UG E-Learning",'Pivot Table for Fact Book'!$A$3,"State","AR","type",9,"Type2","Two-Year")</f>
        <v>56682</v>
      </c>
      <c r="W27" s="200">
        <f>GETPIVOTDATA("Sum of New UG E-Learning",'Pivot Table for Fact Book'!$A$3,"State","AR","type",9,"Type2","Two-Year")</f>
        <v>66618</v>
      </c>
      <c r="X27" s="200">
        <f>GETPIVOTDATA("Sum of Old UG E-Learning",'Pivot Table for Fact Book'!$A$3,"State","AR","type",10,"Type2","Two-Year")</f>
        <v>106654</v>
      </c>
      <c r="Y27" s="200">
        <f>GETPIVOTDATA("Sum of New UG E-Learning",'Pivot Table for Fact Book'!$A$3,"State","AR","type",10,"Type2","Two-Year")</f>
        <v>131038</v>
      </c>
      <c r="Z27" s="201">
        <f>GETPIVOTDATA("Sum of Old UG E-Learning",'Pivot Table for Fact Book'!$A$3,"State","AR","Type2","Two-Year")</f>
        <v>225621</v>
      </c>
      <c r="AA27" s="201">
        <f>GETPIVOTDATA("Sum of New UG E-Learning",'Pivot Table for Fact Book'!$A$3,"State","AR","Type2","Two-Year")</f>
        <v>275563</v>
      </c>
      <c r="AB27" s="197">
        <f>GETPIVOTDATA("Sum of Old UG E-Learning",'Pivot Table for Fact Book'!$A$3,"State","AR","type",12,"Type2","Technical")</f>
        <v>0</v>
      </c>
      <c r="AC27" s="200">
        <f>GETPIVOTDATA("Sum of New UG E-Learning",'Pivot Table for Fact Book'!$A$3,"State","AR","type",12,"Type2","Technical")</f>
        <v>0</v>
      </c>
      <c r="AD27" s="200">
        <f>GETPIVOTDATA("Sum of Old UG E-Learning",'Pivot Table for Fact Book'!$A$3,"State","AR","type",13,"Type2","Technical")</f>
        <v>0</v>
      </c>
      <c r="AE27" s="200">
        <f>GETPIVOTDATA("Sum of New UG E-Learning",'Pivot Table for Fact Book'!$A$3,"State","AR","type",13,"Type2","Technical")</f>
        <v>0</v>
      </c>
      <c r="AF27" s="203">
        <f>GETPIVOTDATA("Sum of Old UG E-Learning",'Pivot Table for Fact Book'!$A$3,"State","AR","Type2","Technical")</f>
        <v>0</v>
      </c>
      <c r="AG27" s="203">
        <f>GETPIVOTDATA("Sum of New UG E-Learning",'Pivot Table for Fact Book'!$A$3,"State","AR","Type2","Technical")</f>
        <v>0</v>
      </c>
      <c r="AH27" s="14"/>
    </row>
    <row r="28" spans="1:34">
      <c r="A28" s="196" t="s">
        <v>177</v>
      </c>
      <c r="B28" s="197">
        <f>GETPIVOTDATA("Sum of Old UG E-Learning",'Pivot Table for Fact Book'!$A$3,"State","DE","type",1,"Type2","Four-Year")</f>
        <v>0</v>
      </c>
      <c r="C28" s="198">
        <f>GETPIVOTDATA("Sum of New UG E-Learning",'Pivot Table for Fact Book'!$A$3,"State","DE","type",1,"Type2","Four-Year")</f>
        <v>0</v>
      </c>
      <c r="D28" s="197">
        <f>GETPIVOTDATA("Sum of Old UG E-Learning",'Pivot Table for Fact Book'!$A$3,"State","DE","type",2,"Type2","Four-Year")</f>
        <v>0</v>
      </c>
      <c r="E28" s="198">
        <f>GETPIVOTDATA("Sum of New UG E-Learning",'Pivot Table for Fact Book'!$A$3,"State","DE","type",2,"Type2","Four-Year")</f>
        <v>0</v>
      </c>
      <c r="F28" s="197">
        <f>GETPIVOTDATA("Sum of Old UG E-Learning",'Pivot Table for Fact Book'!$A$3,"State","DE","type",3,"Type2","Four-Year")</f>
        <v>0</v>
      </c>
      <c r="G28" s="198">
        <f>GETPIVOTDATA("Sum of New UG E-Learning",'Pivot Table for Fact Book'!$A$3,"State","DE","type",3,"Type2","Four-Year")</f>
        <v>0</v>
      </c>
      <c r="H28" s="197">
        <f>GETPIVOTDATA("Sum of Old UG E-Learning",'Pivot Table for Fact Book'!$A$3,"State","DE","type",4,"Type2","Four-Year")</f>
        <v>0</v>
      </c>
      <c r="I28" s="198">
        <f>GETPIVOTDATA("Sum of New UG E-Learning",'Pivot Table for Fact Book'!$A$3,"State","DE","type",4,"Type2","Four-Year")</f>
        <v>0</v>
      </c>
      <c r="J28" s="197">
        <f>GETPIVOTDATA("Sum of Old UG E-Learning",'Pivot Table for Fact Book'!$A$3,"State","DE","type",5,"Type2","Four-Year")</f>
        <v>0</v>
      </c>
      <c r="K28" s="198">
        <f>GETPIVOTDATA("Sum of New UG E-Learning",'Pivot Table for Fact Book'!$A$3,"State","DE","type",5,"Type2","Four-Year")</f>
        <v>0</v>
      </c>
      <c r="L28" s="197">
        <f>GETPIVOTDATA("Sum of Old UG E-Learning",'Pivot Table for Fact Book'!$A$3,"State","DE","type",6,"Type2","Four-Year")</f>
        <v>0</v>
      </c>
      <c r="M28" s="198">
        <f>GETPIVOTDATA("Sum of New UG E-Learning",'Pivot Table for Fact Book'!$A$3,"State","DE","type",6,"Type2","Four-Year")</f>
        <v>0</v>
      </c>
      <c r="N28" s="197">
        <f>GETPIVOTDATA("Sum of Old UG E-Learning",'Pivot Table for Fact Book'!$A$3,"State","DE","type",15,"Type2","Four-Year")</f>
        <v>0</v>
      </c>
      <c r="O28" s="198">
        <f>GETPIVOTDATA("Sum of New UG E-Learning",'Pivot Table for Fact Book'!$A$3,"State","DE","type",15,"Type2","Four-Year")</f>
        <v>0</v>
      </c>
      <c r="P28" s="199">
        <f>GETPIVOTDATA("Sum of Old UG E-Learning",'Pivot Table for Fact Book'!$A$3,"State","DE","Type2","Four-Year")</f>
        <v>0</v>
      </c>
      <c r="Q28" s="199">
        <f>GETPIVOTDATA("Sum of New UG E-Learning",'Pivot Table for Fact Book'!$A$3,"State","DE","Type2","Four-Year")</f>
        <v>0</v>
      </c>
      <c r="R28" s="197">
        <f>GETPIVOTDATA("Sum of Old UG E-Learning",'Pivot Table for Fact Book'!$A$3,"State","DE","type",7,"Type2","Two-Year")</f>
        <v>0</v>
      </c>
      <c r="S28" s="200">
        <f>GETPIVOTDATA("Sum of New UG E-Learning",'Pivot Table for Fact Book'!$A$3,"State","DE","type",7,"Type2","Two-Year")</f>
        <v>0</v>
      </c>
      <c r="T28" s="200">
        <f>GETPIVOTDATA("Sum of Old UG E-Learning",'Pivot Table for Fact Book'!$A$3,"State","DE","type",8,"Type2","Two-Year")</f>
        <v>0</v>
      </c>
      <c r="U28" s="200">
        <f>GETPIVOTDATA("Sum of New UG E-Learning",'Pivot Table for Fact Book'!$A$3,"State","DE","type",8,"Type2","Two-Year")</f>
        <v>0</v>
      </c>
      <c r="V28" s="200">
        <f>GETPIVOTDATA("Sum of Old UG E-Learning",'Pivot Table for Fact Book'!$A$3,"State","DE","type",9,"Type2","Two-Year")</f>
        <v>0</v>
      </c>
      <c r="W28" s="200">
        <f>GETPIVOTDATA("Sum of New UG E-Learning",'Pivot Table for Fact Book'!$A$3,"State","DE","type",9,"Type2","Two-Year")</f>
        <v>0</v>
      </c>
      <c r="X28" s="200">
        <f>GETPIVOTDATA("Sum of Old UG E-Learning",'Pivot Table for Fact Book'!$A$3,"State","DE","type",10,"Type2","Two-Year")</f>
        <v>0</v>
      </c>
      <c r="Y28" s="200">
        <f>GETPIVOTDATA("Sum of New UG E-Learning",'Pivot Table for Fact Book'!$A$3,"State","DE","type",10,"Type2","Two-Year")</f>
        <v>0</v>
      </c>
      <c r="Z28" s="201">
        <f>GETPIVOTDATA("Sum of Old UG E-Learning",'Pivot Table for Fact Book'!$A$3,"State","DE","Type2","Two-Year")</f>
        <v>0</v>
      </c>
      <c r="AA28" s="201">
        <f>GETPIVOTDATA("Sum of New UG E-Learning",'Pivot Table for Fact Book'!$A$3,"State","DE","Type2","Two-Year")</f>
        <v>0</v>
      </c>
      <c r="AB28" s="197">
        <f>GETPIVOTDATA("Sum of Old UG E-Learning",'Pivot Table for Fact Book'!$A$3,"State","DE","type",12,"Type2","Technical")</f>
        <v>0</v>
      </c>
      <c r="AC28" s="200">
        <f>GETPIVOTDATA("Sum of New UG E-Learning",'Pivot Table for Fact Book'!$A$3,"State","DE","type",12,"Type2","Technical")</f>
        <v>0</v>
      </c>
      <c r="AD28" s="200">
        <f>GETPIVOTDATA("Sum of Old UG E-Learning",'Pivot Table for Fact Book'!$A$3,"State","DE","type",13,"Type2","Technical")</f>
        <v>0</v>
      </c>
      <c r="AE28" s="200">
        <f>GETPIVOTDATA("Sum of New UG E-Learning",'Pivot Table for Fact Book'!$A$3,"State","DE","type",13,"Type2","Technical")</f>
        <v>0</v>
      </c>
      <c r="AF28" s="203">
        <f>GETPIVOTDATA("Sum of Old UG E-Learning",'Pivot Table for Fact Book'!$A$3,"State","DE","Type2","Technical")</f>
        <v>0</v>
      </c>
      <c r="AG28" s="203">
        <f>GETPIVOTDATA("Sum of New UG E-Learning",'Pivot Table for Fact Book'!$A$3,"State","DE","Type2","Technical")</f>
        <v>0</v>
      </c>
      <c r="AH28" s="14"/>
    </row>
    <row r="29" spans="1:34">
      <c r="A29" s="196" t="s">
        <v>178</v>
      </c>
      <c r="B29" s="197">
        <f>GETPIVOTDATA("Sum of Old UG E-Learning",'Pivot Table for Fact Book'!$A$3,"State","FL","type",1,"Type2","Four-Year")</f>
        <v>946302</v>
      </c>
      <c r="C29" s="198">
        <f>GETPIVOTDATA("Sum of New UG E-Learning",'Pivot Table for Fact Book'!$A$3,"State","FL","type",1,"Type2","Four-Year")</f>
        <v>999740</v>
      </c>
      <c r="D29" s="197">
        <f>GETPIVOTDATA("Sum of Old UG E-Learning",'Pivot Table for Fact Book'!$A$3,"State","FL","type",2,"Type2","Four-Year")</f>
        <v>33035</v>
      </c>
      <c r="E29" s="198">
        <f>GETPIVOTDATA("Sum of New UG E-Learning",'Pivot Table for Fact Book'!$A$3,"State","FL","type",2,"Type2","Four-Year")</f>
        <v>37041</v>
      </c>
      <c r="F29" s="197">
        <f>GETPIVOTDATA("Sum of Old UG E-Learning",'Pivot Table for Fact Book'!$A$3,"State","FL","type",3,"Type2","Four-Year")</f>
        <v>94745</v>
      </c>
      <c r="G29" s="198">
        <f>GETPIVOTDATA("Sum of New UG E-Learning",'Pivot Table for Fact Book'!$A$3,"State","FL","type",3,"Type2","Four-Year")</f>
        <v>130797</v>
      </c>
      <c r="H29" s="197">
        <f>GETPIVOTDATA("Sum of Old UG E-Learning",'Pivot Table for Fact Book'!$A$3,"State","FL","type",4,"Type2","Four-Year")</f>
        <v>43351</v>
      </c>
      <c r="I29" s="198">
        <f>GETPIVOTDATA("Sum of New UG E-Learning",'Pivot Table for Fact Book'!$A$3,"State","FL","type",4,"Type2","Four-Year")</f>
        <v>51796</v>
      </c>
      <c r="J29" s="197">
        <f>GETPIVOTDATA("Sum of Old UG E-Learning",'Pivot Table for Fact Book'!$A$3,"State","FL","type",5,"Type2","Four-Year")</f>
        <v>0</v>
      </c>
      <c r="K29" s="198">
        <f>GETPIVOTDATA("Sum of New UG E-Learning",'Pivot Table for Fact Book'!$A$3,"State","FL","type",5,"Type2","Four-Year")</f>
        <v>0</v>
      </c>
      <c r="L29" s="197">
        <f>GETPIVOTDATA("Sum of Old UG E-Learning",'Pivot Table for Fact Book'!$A$3,"State","FL","type",6,"Type2","Four-Year")</f>
        <v>0</v>
      </c>
      <c r="M29" s="198">
        <f>GETPIVOTDATA("Sum of New UG E-Learning",'Pivot Table for Fact Book'!$A$3,"State","FL","type",6,"Type2","Four-Year")</f>
        <v>0</v>
      </c>
      <c r="N29" s="197">
        <f>GETPIVOTDATA("Sum of Old UG E-Learning",'Pivot Table for Fact Book'!$A$3,"State","FL","type",15,"Type2","Four-Year")</f>
        <v>0</v>
      </c>
      <c r="O29" s="198">
        <f>GETPIVOTDATA("Sum of New UG E-Learning",'Pivot Table for Fact Book'!$A$3,"State","FL","type",15,"Type2","Four-Year")</f>
        <v>0</v>
      </c>
      <c r="P29" s="199">
        <f>GETPIVOTDATA("Sum of Old UG E-Learning",'Pivot Table for Fact Book'!$A$3,"State","FL","Type2","Four-Year")</f>
        <v>1117433</v>
      </c>
      <c r="Q29" s="199">
        <f>GETPIVOTDATA("Sum of New UG E-Learning",'Pivot Table for Fact Book'!$A$3,"State","FL","Type2","Four-Year")</f>
        <v>1219374</v>
      </c>
      <c r="R29" s="197">
        <f>GETPIVOTDATA("Sum of Old UG E-Learning",'Pivot Table for Fact Book'!$A$3,"State","FL","type",7,"Type2","Two-Year")</f>
        <v>490804</v>
      </c>
      <c r="S29" s="200">
        <f>GETPIVOTDATA("Sum of New UG E-Learning",'Pivot Table for Fact Book'!$A$3,"State","FL","type",7,"Type2","Two-Year")</f>
        <v>608906</v>
      </c>
      <c r="T29" s="200">
        <f>GETPIVOTDATA("Sum of Old UG E-Learning",'Pivot Table for Fact Book'!$A$3,"State","FL","type",8,"Type2","Two-Year")</f>
        <v>1059229</v>
      </c>
      <c r="U29" s="200">
        <f>GETPIVOTDATA("Sum of New UG E-Learning",'Pivot Table for Fact Book'!$A$3,"State","FL","type",8,"Type2","Two-Year")</f>
        <v>1527704</v>
      </c>
      <c r="V29" s="200">
        <f>GETPIVOTDATA("Sum of Old UG E-Learning",'Pivot Table for Fact Book'!$A$3,"State","FL","type",9,"Type2","Two-Year")</f>
        <v>99872</v>
      </c>
      <c r="W29" s="200">
        <f>GETPIVOTDATA("Sum of New UG E-Learning",'Pivot Table for Fact Book'!$A$3,"State","FL","type",9,"Type2","Two-Year")</f>
        <v>136382</v>
      </c>
      <c r="X29" s="200">
        <f>GETPIVOTDATA("Sum of Old UG E-Learning",'Pivot Table for Fact Book'!$A$3,"State","FL","type",10,"Type2","Two-Year")</f>
        <v>10732</v>
      </c>
      <c r="Y29" s="200">
        <f>GETPIVOTDATA("Sum of New UG E-Learning",'Pivot Table for Fact Book'!$A$3,"State","FL","type",10,"Type2","Two-Year")</f>
        <v>15826</v>
      </c>
      <c r="Z29" s="201">
        <f>GETPIVOTDATA("Sum of Old UG E-Learning",'Pivot Table for Fact Book'!$A$3,"State","FL","Type2","Two-Year")</f>
        <v>1660637</v>
      </c>
      <c r="AA29" s="201">
        <f>GETPIVOTDATA("Sum of New UG E-Learning",'Pivot Table for Fact Book'!$A$3,"State","FL","Type2","Two-Year")</f>
        <v>2288818</v>
      </c>
      <c r="AB29" s="197">
        <f>GETPIVOTDATA("Sum of Old UG E-Learning",'Pivot Table for Fact Book'!$A$3,"State","FL","type",12,"Type2","Technical")</f>
        <v>0</v>
      </c>
      <c r="AC29" s="200">
        <f>GETPIVOTDATA("Sum of New UG E-Learning",'Pivot Table for Fact Book'!$A$3,"State","FL","type",12,"Type2","Technical")</f>
        <v>0</v>
      </c>
      <c r="AD29" s="200">
        <f>GETPIVOTDATA("Sum of Old UG E-Learning",'Pivot Table for Fact Book'!$A$3,"State","FL","type",13,"Type2","Technical")</f>
        <v>0</v>
      </c>
      <c r="AE29" s="200">
        <f>GETPIVOTDATA("Sum of New UG E-Learning",'Pivot Table for Fact Book'!$A$3,"State","FL","type",13,"Type2","Technical")</f>
        <v>0</v>
      </c>
      <c r="AF29" s="203">
        <f>GETPIVOTDATA("Sum of Old UG E-Learning",'Pivot Table for Fact Book'!$A$3,"State","FL","Type2","Technical")</f>
        <v>0</v>
      </c>
      <c r="AG29" s="203">
        <f>GETPIVOTDATA("Sum of New UG E-Learning",'Pivot Table for Fact Book'!$A$3,"State","FL","Type2","Technical")</f>
        <v>0</v>
      </c>
      <c r="AH29" s="14"/>
    </row>
    <row r="30" spans="1:34">
      <c r="A30" s="196" t="s">
        <v>179</v>
      </c>
      <c r="B30" s="197">
        <f>GETPIVOTDATA("Sum of Old UG E-Learning",'Pivot Table for Fact Book'!$A$3,"State","GA","type",1,"Type2","Four-Year")</f>
        <v>0</v>
      </c>
      <c r="C30" s="198">
        <f>GETPIVOTDATA("Sum of New UG E-Learning",'Pivot Table for Fact Book'!$A$3,"State","GA","type",1,"Type2","Four-Year")</f>
        <v>0</v>
      </c>
      <c r="D30" s="197">
        <f>GETPIVOTDATA("Sum of Old UG E-Learning",'Pivot Table for Fact Book'!$A$3,"State","GA","type",2,"Type2","Four-Year")</f>
        <v>0</v>
      </c>
      <c r="E30" s="198">
        <f>GETPIVOTDATA("Sum of New UG E-Learning",'Pivot Table for Fact Book'!$A$3,"State","GA","type",2,"Type2","Four-Year")</f>
        <v>0</v>
      </c>
      <c r="F30" s="197">
        <f>GETPIVOTDATA("Sum of Old UG E-Learning",'Pivot Table for Fact Book'!$A$3,"State","GA","type",3,"Type2","Four-Year")</f>
        <v>0</v>
      </c>
      <c r="G30" s="198">
        <f>GETPIVOTDATA("Sum of New UG E-Learning",'Pivot Table for Fact Book'!$A$3,"State","GA","type",3,"Type2","Four-Year")</f>
        <v>0</v>
      </c>
      <c r="H30" s="197">
        <f>GETPIVOTDATA("Sum of Old UG E-Learning",'Pivot Table for Fact Book'!$A$3,"State","GA","type",4,"Type2","Four-Year")</f>
        <v>0</v>
      </c>
      <c r="I30" s="198">
        <f>GETPIVOTDATA("Sum of New UG E-Learning",'Pivot Table for Fact Book'!$A$3,"State","GA","type",4,"Type2","Four-Year")</f>
        <v>0</v>
      </c>
      <c r="J30" s="197">
        <f>GETPIVOTDATA("Sum of Old UG E-Learning",'Pivot Table for Fact Book'!$A$3,"State","GA","type",5,"Type2","Four-Year")</f>
        <v>0</v>
      </c>
      <c r="K30" s="198">
        <f>GETPIVOTDATA("Sum of New UG E-Learning",'Pivot Table for Fact Book'!$A$3,"State","GA","type",5,"Type2","Four-Year")</f>
        <v>0</v>
      </c>
      <c r="L30" s="197">
        <f>GETPIVOTDATA("Sum of Old UG E-Learning",'Pivot Table for Fact Book'!$A$3,"State","GA","type",6,"Type2","Four-Year")</f>
        <v>0</v>
      </c>
      <c r="M30" s="198">
        <f>GETPIVOTDATA("Sum of New UG E-Learning",'Pivot Table for Fact Book'!$A$3,"State","GA","type",6,"Type2","Four-Year")</f>
        <v>0</v>
      </c>
      <c r="N30" s="197">
        <f>GETPIVOTDATA("Sum of Old UG E-Learning",'Pivot Table for Fact Book'!$A$3,"State","GA","type",15,"Type2","Four-Year")</f>
        <v>0</v>
      </c>
      <c r="O30" s="198">
        <f>GETPIVOTDATA("Sum of New UG E-Learning",'Pivot Table for Fact Book'!$A$3,"State","GA","type",15,"Type2","Four-Year")</f>
        <v>0</v>
      </c>
      <c r="P30" s="199">
        <f>GETPIVOTDATA("Sum of Old UG E-Learning",'Pivot Table for Fact Book'!$A$3,"State","GA","Type2","Four-Year")</f>
        <v>0</v>
      </c>
      <c r="Q30" s="199">
        <f>GETPIVOTDATA("Sum of New UG E-Learning",'Pivot Table for Fact Book'!$A$3,"State","GA","Type2","Four-Year")</f>
        <v>0</v>
      </c>
      <c r="R30" s="197">
        <f>GETPIVOTDATA("Sum of Old UG E-Learning",'Pivot Table for Fact Book'!$A$3,"State","GA","type",7,"Type2","Two-Year")</f>
        <v>0</v>
      </c>
      <c r="S30" s="200">
        <f>GETPIVOTDATA("Sum of New UG E-Learning",'Pivot Table for Fact Book'!$A$3,"State","GA","type",7,"Type2","Two-Year")</f>
        <v>0</v>
      </c>
      <c r="T30" s="200">
        <f>GETPIVOTDATA("Sum of Old UG E-Learning",'Pivot Table for Fact Book'!$A$3,"State","GA","type",8,"Type2","Two-Year")</f>
        <v>0</v>
      </c>
      <c r="U30" s="200">
        <f>GETPIVOTDATA("Sum of New UG E-Learning",'Pivot Table for Fact Book'!$A$3,"State","GA","type",8,"Type2","Two-Year")</f>
        <v>0</v>
      </c>
      <c r="V30" s="200">
        <f>GETPIVOTDATA("Sum of Old UG E-Learning",'Pivot Table for Fact Book'!$A$3,"State","GA","type",9,"Type2","Two-Year")</f>
        <v>0</v>
      </c>
      <c r="W30" s="200">
        <f>GETPIVOTDATA("Sum of New UG E-Learning",'Pivot Table for Fact Book'!$A$3,"State","GA","type",9,"Type2","Two-Year")</f>
        <v>0</v>
      </c>
      <c r="X30" s="200">
        <f>GETPIVOTDATA("Sum of Old UG E-Learning",'Pivot Table for Fact Book'!$A$3,"State","GA","type",10,"Type2","Two-Year")</f>
        <v>0</v>
      </c>
      <c r="Y30" s="200">
        <f>GETPIVOTDATA("Sum of New UG E-Learning",'Pivot Table for Fact Book'!$A$3,"State","GA","type",10,"Type2","Two-Year")</f>
        <v>0</v>
      </c>
      <c r="Z30" s="201">
        <f>GETPIVOTDATA("Sum of Old UG E-Learning",'Pivot Table for Fact Book'!$A$3,"State","GA","Type2","Two-Year")</f>
        <v>0</v>
      </c>
      <c r="AA30" s="201">
        <f>GETPIVOTDATA("Sum of New UG E-Learning",'Pivot Table for Fact Book'!$A$3,"State","GA","Type2","Two-Year")</f>
        <v>0</v>
      </c>
      <c r="AB30" s="197">
        <f>GETPIVOTDATA("Sum of Old UG E-Learning",'Pivot Table for Fact Book'!$A$3,"State","GA","type",12,"Type2","Technical")</f>
        <v>747421</v>
      </c>
      <c r="AC30" s="200">
        <f>GETPIVOTDATA("Sum of New UG E-Learning",'Pivot Table for Fact Book'!$A$3,"State","GA","type",12,"Type2","Technical")</f>
        <v>920177</v>
      </c>
      <c r="AD30" s="200">
        <f>GETPIVOTDATA("Sum of Old UG E-Learning",'Pivot Table for Fact Book'!$A$3,"State","GA","type",13,"Type2","Technical")</f>
        <v>7847</v>
      </c>
      <c r="AE30" s="200">
        <f>GETPIVOTDATA("Sum of New UG E-Learning",'Pivot Table for Fact Book'!$A$3,"State","GA","type",13,"Type2","Technical")</f>
        <v>6126</v>
      </c>
      <c r="AF30" s="203">
        <f>GETPIVOTDATA("Sum of Old UG E-Learning",'Pivot Table for Fact Book'!$A$3,"State","GA","Type2","Technical")</f>
        <v>755268</v>
      </c>
      <c r="AG30" s="203">
        <f>GETPIVOTDATA("Sum of New UG E-Learning",'Pivot Table for Fact Book'!$A$3,"State","GA","Type2","Technical")</f>
        <v>926303</v>
      </c>
      <c r="AH30" s="14"/>
    </row>
    <row r="31" spans="1:34">
      <c r="A31" s="196" t="s">
        <v>180</v>
      </c>
      <c r="B31" s="197">
        <f>GETPIVOTDATA("Sum of Old UG E-Learning",'Pivot Table for Fact Book'!$A$3,"State","KY","type",1,"Type2","Four-Year")</f>
        <v>29002</v>
      </c>
      <c r="C31" s="198">
        <f>GETPIVOTDATA("Sum of New UG E-Learning",'Pivot Table for Fact Book'!$A$3,"State","KY","type",1,"Type2","Four-Year")</f>
        <v>40145</v>
      </c>
      <c r="D31" s="197">
        <f>GETPIVOTDATA("Sum of Old UG E-Learning",'Pivot Table for Fact Book'!$A$3,"State","KY","type",2,"Type2","Four-Year")</f>
        <v>0</v>
      </c>
      <c r="E31" s="198">
        <f>GETPIVOTDATA("Sum of New UG E-Learning",'Pivot Table for Fact Book'!$A$3,"State","KY","type",2,"Type2","Four-Year")</f>
        <v>0</v>
      </c>
      <c r="F31" s="197">
        <f>GETPIVOTDATA("Sum of Old UG E-Learning",'Pivot Table for Fact Book'!$A$3,"State","KY","type",3,"Type2","Four-Year")</f>
        <v>157545</v>
      </c>
      <c r="G31" s="198">
        <f>GETPIVOTDATA("Sum of New UG E-Learning",'Pivot Table for Fact Book'!$A$3,"State","KY","type",3,"Type2","Four-Year")</f>
        <v>180189</v>
      </c>
      <c r="H31" s="197">
        <f>GETPIVOTDATA("Sum of Old UG E-Learning",'Pivot Table for Fact Book'!$A$3,"State","KY","type",4,"Type2","Four-Year")</f>
        <v>32400</v>
      </c>
      <c r="I31" s="198">
        <f>GETPIVOTDATA("Sum of New UG E-Learning",'Pivot Table for Fact Book'!$A$3,"State","KY","type",4,"Type2","Four-Year")</f>
        <v>40337</v>
      </c>
      <c r="J31" s="197">
        <f>GETPIVOTDATA("Sum of Old UG E-Learning",'Pivot Table for Fact Book'!$A$3,"State","KY","type",5,"Type2","Four-Year")</f>
        <v>0</v>
      </c>
      <c r="K31" s="198">
        <f>GETPIVOTDATA("Sum of New UG E-Learning",'Pivot Table for Fact Book'!$A$3,"State","KY","type",5,"Type2","Four-Year")</f>
        <v>0</v>
      </c>
      <c r="L31" s="197">
        <f>GETPIVOTDATA("Sum of Old UG E-Learning",'Pivot Table for Fact Book'!$A$3,"State","KY","type",6,"Type2","Four-Year")</f>
        <v>0</v>
      </c>
      <c r="M31" s="198">
        <f>GETPIVOTDATA("Sum of New UG E-Learning",'Pivot Table for Fact Book'!$A$3,"State","KY","type",6,"Type2","Four-Year")</f>
        <v>0</v>
      </c>
      <c r="N31" s="197">
        <f>GETPIVOTDATA("Sum of Old UG E-Learning",'Pivot Table for Fact Book'!$A$3,"State","KY","type",15,"Type2","Four-Year")</f>
        <v>0</v>
      </c>
      <c r="O31" s="198">
        <f>GETPIVOTDATA("Sum of New UG E-Learning",'Pivot Table for Fact Book'!$A$3,"State","KY","type",15,"Type2","Four-Year")</f>
        <v>0</v>
      </c>
      <c r="P31" s="199">
        <f>GETPIVOTDATA("Sum of Old UG E-Learning",'Pivot Table for Fact Book'!$A$3,"State","KY","Type2","Four-Year")</f>
        <v>218947</v>
      </c>
      <c r="Q31" s="199">
        <f>GETPIVOTDATA("Sum of New UG E-Learning",'Pivot Table for Fact Book'!$A$3,"State","KY","Type2","Four-Year")</f>
        <v>260671</v>
      </c>
      <c r="R31" s="197">
        <f>GETPIVOTDATA("Sum of Old UG E-Learning",'Pivot Table for Fact Book'!$A$3,"State","KY","type",7,"Type2","Two-Year")</f>
        <v>0</v>
      </c>
      <c r="S31" s="200">
        <f>GETPIVOTDATA("Sum of New UG E-Learning",'Pivot Table for Fact Book'!$A$3,"State","KY","type",7,"Type2","Two-Year")</f>
        <v>0</v>
      </c>
      <c r="T31" s="200">
        <f>GETPIVOTDATA("Sum of Old UG E-Learning",'Pivot Table for Fact Book'!$A$3,"State","KY","type",8,"Type2","Two-Year")</f>
        <v>103376</v>
      </c>
      <c r="U31" s="200">
        <f>GETPIVOTDATA("Sum of New UG E-Learning",'Pivot Table for Fact Book'!$A$3,"State","KY","type",8,"Type2","Two-Year")</f>
        <v>118920</v>
      </c>
      <c r="V31" s="200">
        <f>GETPIVOTDATA("Sum of Old UG E-Learning",'Pivot Table for Fact Book'!$A$3,"State","KY","type",9,"Type2","Two-Year")</f>
        <v>207175</v>
      </c>
      <c r="W31" s="200">
        <f>GETPIVOTDATA("Sum of New UG E-Learning",'Pivot Table for Fact Book'!$A$3,"State","KY","type",9,"Type2","Two-Year")</f>
        <v>272775</v>
      </c>
      <c r="X31" s="200">
        <f>GETPIVOTDATA("Sum of Old UG E-Learning",'Pivot Table for Fact Book'!$A$3,"State","KY","type",10,"Type2","Two-Year")</f>
        <v>43259</v>
      </c>
      <c r="Y31" s="200">
        <f>GETPIVOTDATA("Sum of New UG E-Learning",'Pivot Table for Fact Book'!$A$3,"State","KY","type",10,"Type2","Two-Year")</f>
        <v>53483</v>
      </c>
      <c r="Z31" s="201">
        <f>GETPIVOTDATA("Sum of Old UG E-Learning",'Pivot Table for Fact Book'!$A$3,"State","KY","Type2","Two-Year")</f>
        <v>353810</v>
      </c>
      <c r="AA31" s="201">
        <f>GETPIVOTDATA("Sum of New UG E-Learning",'Pivot Table for Fact Book'!$A$3,"State","KY","Type2","Two-Year")</f>
        <v>445178</v>
      </c>
      <c r="AB31" s="197">
        <f>GETPIVOTDATA("Sum of Old UG E-Learning",'Pivot Table for Fact Book'!$A$3,"State","KY","type",12,"Type2","Technical")</f>
        <v>5667</v>
      </c>
      <c r="AC31" s="200">
        <f>GETPIVOTDATA("Sum of New UG E-Learning",'Pivot Table for Fact Book'!$A$3,"State","KY","type",12,"Type2","Technical")</f>
        <v>10371</v>
      </c>
      <c r="AD31" s="200">
        <f>GETPIVOTDATA("Sum of Old UG E-Learning",'Pivot Table for Fact Book'!$A$3,"State","KY","type",13,"Type2","Technical")</f>
        <v>0</v>
      </c>
      <c r="AE31" s="200">
        <f>GETPIVOTDATA("Sum of New UG E-Learning",'Pivot Table for Fact Book'!$A$3,"State","KY","type",13,"Type2","Technical")</f>
        <v>0</v>
      </c>
      <c r="AF31" s="203">
        <f>GETPIVOTDATA("Sum of Old UG E-Learning",'Pivot Table for Fact Book'!$A$3,"State","KY","Type2","Technical")</f>
        <v>5667</v>
      </c>
      <c r="AG31" s="203">
        <f>GETPIVOTDATA("Sum of New UG E-Learning",'Pivot Table for Fact Book'!$A$3,"State","KY","Type2","Technical")</f>
        <v>10371</v>
      </c>
      <c r="AH31" s="14"/>
    </row>
    <row r="32" spans="1:34">
      <c r="A32" s="196" t="s">
        <v>181</v>
      </c>
      <c r="B32" s="197">
        <f>GETPIVOTDATA("Sum of Old UG E-Learning",'Pivot Table for Fact Book'!$A$3,"State","LA","type",1,"Type2","Four-Year")</f>
        <v>0</v>
      </c>
      <c r="C32" s="198">
        <f>GETPIVOTDATA("Sum of New UG E-Learning",'Pivot Table for Fact Book'!$A$3,"State","LA","type",1,"Type2","Four-Year")</f>
        <v>0</v>
      </c>
      <c r="D32" s="197">
        <f>GETPIVOTDATA("Sum of Old UG E-Learning",'Pivot Table for Fact Book'!$A$3,"State","LA","type",2,"Type2","Four-Year")</f>
        <v>0</v>
      </c>
      <c r="E32" s="198">
        <f>GETPIVOTDATA("Sum of New UG E-Learning",'Pivot Table for Fact Book'!$A$3,"State","LA","type",2,"Type2","Four-Year")</f>
        <v>0</v>
      </c>
      <c r="F32" s="197">
        <f>GETPIVOTDATA("Sum of Old UG E-Learning",'Pivot Table for Fact Book'!$A$3,"State","LA","type",3,"Type2","Four-Year")</f>
        <v>0</v>
      </c>
      <c r="G32" s="198">
        <f>GETPIVOTDATA("Sum of New UG E-Learning",'Pivot Table for Fact Book'!$A$3,"State","LA","type",3,"Type2","Four-Year")</f>
        <v>0</v>
      </c>
      <c r="H32" s="197">
        <f>GETPIVOTDATA("Sum of Old UG E-Learning",'Pivot Table for Fact Book'!$A$3,"State","LA","type",4,"Type2","Four-Year")</f>
        <v>0</v>
      </c>
      <c r="I32" s="198">
        <f>GETPIVOTDATA("Sum of New UG E-Learning",'Pivot Table for Fact Book'!$A$3,"State","LA","type",4,"Type2","Four-Year")</f>
        <v>0</v>
      </c>
      <c r="J32" s="197">
        <f>GETPIVOTDATA("Sum of Old UG E-Learning",'Pivot Table for Fact Book'!$A$3,"State","LA","type",5,"Type2","Four-Year")</f>
        <v>0</v>
      </c>
      <c r="K32" s="198">
        <f>GETPIVOTDATA("Sum of New UG E-Learning",'Pivot Table for Fact Book'!$A$3,"State","LA","type",5,"Type2","Four-Year")</f>
        <v>0</v>
      </c>
      <c r="L32" s="197">
        <f>GETPIVOTDATA("Sum of Old UG E-Learning",'Pivot Table for Fact Book'!$A$3,"State","LA","type",6,"Type2","Four-Year")</f>
        <v>0</v>
      </c>
      <c r="M32" s="198">
        <f>GETPIVOTDATA("Sum of New UG E-Learning",'Pivot Table for Fact Book'!$A$3,"State","LA","type",6,"Type2","Four-Year")</f>
        <v>0</v>
      </c>
      <c r="N32" s="197">
        <f>GETPIVOTDATA("Sum of Old UG E-Learning",'Pivot Table for Fact Book'!$A$3,"State","LA","type",15,"Type2","Four-Year")</f>
        <v>0</v>
      </c>
      <c r="O32" s="198">
        <f>GETPIVOTDATA("Sum of New UG E-Learning",'Pivot Table for Fact Book'!$A$3,"State","LA","type",15,"Type2","Four-Year")</f>
        <v>0</v>
      </c>
      <c r="P32" s="199">
        <f>GETPIVOTDATA("Sum of Old UG E-Learning",'Pivot Table for Fact Book'!$A$3,"State","LA","Type2","Four-Year")</f>
        <v>0</v>
      </c>
      <c r="Q32" s="199">
        <f>GETPIVOTDATA("Sum of New UG E-Learning",'Pivot Table for Fact Book'!$A$3,"State","LA","Type2","Four-Year")</f>
        <v>0</v>
      </c>
      <c r="R32" s="197">
        <f>GETPIVOTDATA("Sum of Old UG E-Learning",'Pivot Table for Fact Book'!$A$3,"State","LA","type",7,"Type2","Two-Year")</f>
        <v>0</v>
      </c>
      <c r="S32" s="200">
        <f>GETPIVOTDATA("Sum of New UG E-Learning",'Pivot Table for Fact Book'!$A$3,"State","LA","type",7,"Type2","Two-Year")</f>
        <v>0</v>
      </c>
      <c r="T32" s="200">
        <f>GETPIVOTDATA("Sum of Old UG E-Learning",'Pivot Table for Fact Book'!$A$3,"State","LA","type",8,"Type2","Two-Year")</f>
        <v>0</v>
      </c>
      <c r="U32" s="200">
        <f>GETPIVOTDATA("Sum of New UG E-Learning",'Pivot Table for Fact Book'!$A$3,"State","LA","type",8,"Type2","Two-Year")</f>
        <v>0</v>
      </c>
      <c r="V32" s="200">
        <f>GETPIVOTDATA("Sum of Old UG E-Learning",'Pivot Table for Fact Book'!$A$3,"State","LA","type",9,"Type2","Two-Year")</f>
        <v>0</v>
      </c>
      <c r="W32" s="200">
        <f>GETPIVOTDATA("Sum of New UG E-Learning",'Pivot Table for Fact Book'!$A$3,"State","LA","type",9,"Type2","Two-Year")</f>
        <v>0</v>
      </c>
      <c r="X32" s="200">
        <f>GETPIVOTDATA("Sum of Old UG E-Learning",'Pivot Table for Fact Book'!$A$3,"State","LA","type",10,"Type2","Two-Year")</f>
        <v>0</v>
      </c>
      <c r="Y32" s="200">
        <f>GETPIVOTDATA("Sum of New UG E-Learning",'Pivot Table for Fact Book'!$A$3,"State","LA","type",10,"Type2","Two-Year")</f>
        <v>0</v>
      </c>
      <c r="Z32" s="201">
        <f>GETPIVOTDATA("Sum of Old UG E-Learning",'Pivot Table for Fact Book'!$A$3,"State","LA","Type2","Two-Year")</f>
        <v>0</v>
      </c>
      <c r="AA32" s="201">
        <f>GETPIVOTDATA("Sum of New UG E-Learning",'Pivot Table for Fact Book'!$A$3,"State","LA","Type2","Two-Year")</f>
        <v>0</v>
      </c>
      <c r="AB32" s="197">
        <f>GETPIVOTDATA("Sum of Old UG E-Learning",'Pivot Table for Fact Book'!$A$3,"State","LA","type",12,"Type2","Technical")</f>
        <v>0</v>
      </c>
      <c r="AC32" s="200">
        <f>GETPIVOTDATA("Sum of New UG E-Learning",'Pivot Table for Fact Book'!$A$3,"State","LA","type",12,"Type2","Technical")</f>
        <v>0</v>
      </c>
      <c r="AD32" s="200">
        <f>GETPIVOTDATA("Sum of Old UG E-Learning",'Pivot Table for Fact Book'!$A$3,"State","LA","type",13,"Type2","Technical")</f>
        <v>0</v>
      </c>
      <c r="AE32" s="200">
        <f>GETPIVOTDATA("Sum of New UG E-Learning",'Pivot Table for Fact Book'!$A$3,"State","LA","type",13,"Type2","Technical")</f>
        <v>0</v>
      </c>
      <c r="AF32" s="203">
        <f>GETPIVOTDATA("Sum of Old UG E-Learning",'Pivot Table for Fact Book'!$A$3,"State","LA","Type2","Technical")</f>
        <v>0</v>
      </c>
      <c r="AG32" s="203">
        <f>GETPIVOTDATA("Sum of New UG E-Learning",'Pivot Table for Fact Book'!$A$3,"State","LA","Type2","Technical")</f>
        <v>0</v>
      </c>
      <c r="AH32" s="14"/>
    </row>
    <row r="33" spans="1:34">
      <c r="A33" s="196" t="s">
        <v>222</v>
      </c>
      <c r="B33" s="197">
        <f>GETPIVOTDATA("Sum of Old UG E-Learning",'Pivot Table for Fact Book'!$A$3,"State","MD","type",1,"Type2","Four-Year")</f>
        <v>7163</v>
      </c>
      <c r="C33" s="198">
        <f>GETPIVOTDATA("Sum of New UG E-Learning",'Pivot Table for Fact Book'!$A$3,"State","MD","type",1,"Type2","Four-Year")</f>
        <v>11064</v>
      </c>
      <c r="D33" s="197">
        <f>GETPIVOTDATA("Sum of Old UG E-Learning",'Pivot Table for Fact Book'!$A$3,"State","MD","type",2,"Type2","Four-Year")</f>
        <v>12436</v>
      </c>
      <c r="E33" s="198">
        <f>GETPIVOTDATA("Sum of New UG E-Learning",'Pivot Table for Fact Book'!$A$3,"State","MD","type",2,"Type2","Four-Year")</f>
        <v>22177</v>
      </c>
      <c r="F33" s="197">
        <f>GETPIVOTDATA("Sum of Old UG E-Learning",'Pivot Table for Fact Book'!$A$3,"State","MD","type",3,"Type2","Four-Year")</f>
        <v>18028</v>
      </c>
      <c r="G33" s="198">
        <f>GETPIVOTDATA("Sum of New UG E-Learning",'Pivot Table for Fact Book'!$A$3,"State","MD","type",3,"Type2","Four-Year")</f>
        <v>25826</v>
      </c>
      <c r="H33" s="197">
        <f>GETPIVOTDATA("Sum of Old UG E-Learning",'Pivot Table for Fact Book'!$A$3,"State","MD","type",4,"Type2","Four-Year")</f>
        <v>52201</v>
      </c>
      <c r="I33" s="198">
        <f>GETPIVOTDATA("Sum of New UG E-Learning",'Pivot Table for Fact Book'!$A$3,"State","MD","type",4,"Type2","Four-Year")</f>
        <v>60441</v>
      </c>
      <c r="J33" s="197">
        <f>GETPIVOTDATA("Sum of Old UG E-Learning",'Pivot Table for Fact Book'!$A$3,"State","MD","type",5,"Type2","Four-Year")</f>
        <v>0</v>
      </c>
      <c r="K33" s="198">
        <f>GETPIVOTDATA("Sum of New UG E-Learning",'Pivot Table for Fact Book'!$A$3,"State","MD","type",5,"Type2","Four-Year")</f>
        <v>0</v>
      </c>
      <c r="L33" s="197">
        <f>GETPIVOTDATA("Sum of Old UG E-Learning",'Pivot Table for Fact Book'!$A$3,"State","MD","type",6,"Type2","Four-Year")</f>
        <v>0</v>
      </c>
      <c r="M33" s="198">
        <f>GETPIVOTDATA("Sum of New UG E-Learning",'Pivot Table for Fact Book'!$A$3,"State","MD","type",6,"Type2","Four-Year")</f>
        <v>0</v>
      </c>
      <c r="N33" s="197">
        <f>GETPIVOTDATA("Sum of Old UG E-Learning",'Pivot Table for Fact Book'!$A$3,"State","MD","type",15,"Type2","Four-Year")</f>
        <v>328772</v>
      </c>
      <c r="O33" s="198">
        <f>GETPIVOTDATA("Sum of New UG E-Learning",'Pivot Table for Fact Book'!$A$3,"State","MD","type",15,"Type2","Four-Year")</f>
        <v>365434</v>
      </c>
      <c r="P33" s="199">
        <f>GETPIVOTDATA("Sum of Old UG E-Learning",'Pivot Table for Fact Book'!$A$3,"State","MD","Type2","Four-Year")</f>
        <v>418600</v>
      </c>
      <c r="Q33" s="199">
        <f>GETPIVOTDATA("Sum of New UG E-Learning",'Pivot Table for Fact Book'!$A$3,"State","MD","Type2","Four-Year")</f>
        <v>484942</v>
      </c>
      <c r="R33" s="197">
        <f>GETPIVOTDATA("Sum of Old UG E-Learning",'Pivot Table for Fact Book'!$A$3,"State","MD","type",7,"Type2","Two-Year")</f>
        <v>0</v>
      </c>
      <c r="S33" s="200">
        <f>GETPIVOTDATA("Sum of New UG E-Learning",'Pivot Table for Fact Book'!$A$3,"State","MD","type",7,"Type2","Two-Year")</f>
        <v>0</v>
      </c>
      <c r="T33" s="200">
        <f>GETPIVOTDATA("Sum of Old UG E-Learning",'Pivot Table for Fact Book'!$A$3,"State","MD","type",8,"Type2","Two-Year")</f>
        <v>179369</v>
      </c>
      <c r="U33" s="200">
        <f>GETPIVOTDATA("Sum of New UG E-Learning",'Pivot Table for Fact Book'!$A$3,"State","MD","type",8,"Type2","Two-Year")</f>
        <v>196568.5</v>
      </c>
      <c r="V33" s="200">
        <f>GETPIVOTDATA("Sum of Old UG E-Learning",'Pivot Table for Fact Book'!$A$3,"State","MD","type",9,"Type2","Two-Year")</f>
        <v>142846.5</v>
      </c>
      <c r="W33" s="200">
        <f>GETPIVOTDATA("Sum of New UG E-Learning",'Pivot Table for Fact Book'!$A$3,"State","MD","type",9,"Type2","Two-Year")</f>
        <v>163527.5</v>
      </c>
      <c r="X33" s="200">
        <f>GETPIVOTDATA("Sum of Old UG E-Learning",'Pivot Table for Fact Book'!$A$3,"State","MD","type",10,"Type2","Two-Year")</f>
        <v>13506</v>
      </c>
      <c r="Y33" s="200">
        <f>GETPIVOTDATA("Sum of New UG E-Learning",'Pivot Table for Fact Book'!$A$3,"State","MD","type",10,"Type2","Two-Year")</f>
        <v>17327</v>
      </c>
      <c r="Z33" s="201">
        <f>GETPIVOTDATA("Sum of Old UG E-Learning",'Pivot Table for Fact Book'!$A$3,"State","MD","Type2","Two-Year")</f>
        <v>335721.5</v>
      </c>
      <c r="AA33" s="201">
        <f>GETPIVOTDATA("Sum of New UG E-Learning",'Pivot Table for Fact Book'!$A$3,"State","MD","Type2","Two-Year")</f>
        <v>377423</v>
      </c>
      <c r="AB33" s="197">
        <f>GETPIVOTDATA("Sum of Old UG E-Learning",'Pivot Table for Fact Book'!$A$3,"State","MD","type",12,"Type2","Technical")</f>
        <v>0</v>
      </c>
      <c r="AC33" s="200">
        <f>GETPIVOTDATA("Sum of New UG E-Learning",'Pivot Table for Fact Book'!$A$3,"State","MD","type",12,"Type2","Technical")</f>
        <v>0</v>
      </c>
      <c r="AD33" s="200">
        <f>GETPIVOTDATA("Sum of Old UG E-Learning",'Pivot Table for Fact Book'!$A$3,"State","MD","type",13,"Type2","Technical")</f>
        <v>0</v>
      </c>
      <c r="AE33" s="200">
        <f>GETPIVOTDATA("Sum of New UG E-Learning",'Pivot Table for Fact Book'!$A$3,"State","MD","type",13,"Type2","Technical")</f>
        <v>0</v>
      </c>
      <c r="AF33" s="203">
        <f>GETPIVOTDATA("Sum of Old UG E-Learning",'Pivot Table for Fact Book'!$A$3,"State","MD","Type2","Technical")</f>
        <v>0</v>
      </c>
      <c r="AG33" s="203">
        <f>GETPIVOTDATA("Sum of New UG E-Learning",'Pivot Table for Fact Book'!$A$3,"State","MD","Type2","Technical")</f>
        <v>0</v>
      </c>
      <c r="AH33" s="14"/>
    </row>
    <row r="34" spans="1:34">
      <c r="A34" s="196" t="s">
        <v>183</v>
      </c>
      <c r="B34" s="197">
        <f>GETPIVOTDATA("Sum of Old UG E-Learning",'Pivot Table for Fact Book'!$A$3,"State","MS","type",1,"Type2","Four-Year")</f>
        <v>47630</v>
      </c>
      <c r="C34" s="198">
        <f>GETPIVOTDATA("Sum of New UG E-Learning",'Pivot Table for Fact Book'!$A$3,"State","MS","type",1,"Type2","Four-Year")</f>
        <v>56180</v>
      </c>
      <c r="D34" s="197">
        <f>GETPIVOTDATA("Sum of Old UG E-Learning",'Pivot Table for Fact Book'!$A$3,"State","MS","type",2,"Type2","Four-Year")</f>
        <v>21318</v>
      </c>
      <c r="E34" s="198">
        <f>GETPIVOTDATA("Sum of New UG E-Learning",'Pivot Table for Fact Book'!$A$3,"State","MS","type",2,"Type2","Four-Year")</f>
        <v>20722</v>
      </c>
      <c r="F34" s="197">
        <f>GETPIVOTDATA("Sum of Old UG E-Learning",'Pivot Table for Fact Book'!$A$3,"State","MS","type",3,"Type2","Four-Year")</f>
        <v>0</v>
      </c>
      <c r="G34" s="198">
        <f>GETPIVOTDATA("Sum of New UG E-Learning",'Pivot Table for Fact Book'!$A$3,"State","MS","type",3,"Type2","Four-Year")</f>
        <v>0</v>
      </c>
      <c r="H34" s="197">
        <f>GETPIVOTDATA("Sum of Old UG E-Learning",'Pivot Table for Fact Book'!$A$3,"State","MS","type",4,"Type2","Four-Year")</f>
        <v>25285</v>
      </c>
      <c r="I34" s="198">
        <f>GETPIVOTDATA("Sum of New UG E-Learning",'Pivot Table for Fact Book'!$A$3,"State","MS","type",4,"Type2","Four-Year")</f>
        <v>29692.5</v>
      </c>
      <c r="J34" s="197">
        <f>GETPIVOTDATA("Sum of Old UG E-Learning",'Pivot Table for Fact Book'!$A$3,"State","MS","type",5,"Type2","Four-Year")</f>
        <v>11614</v>
      </c>
      <c r="K34" s="198">
        <f>GETPIVOTDATA("Sum of New UG E-Learning",'Pivot Table for Fact Book'!$A$3,"State","MS","type",5,"Type2","Four-Year")</f>
        <v>19169</v>
      </c>
      <c r="L34" s="197">
        <f>GETPIVOTDATA("Sum of Old UG E-Learning",'Pivot Table for Fact Book'!$A$3,"State","MS","type",6,"Type2","Four-Year")</f>
        <v>0</v>
      </c>
      <c r="M34" s="198">
        <f>GETPIVOTDATA("Sum of New UG E-Learning",'Pivot Table for Fact Book'!$A$3,"State","MS","type",6,"Type2","Four-Year")</f>
        <v>0</v>
      </c>
      <c r="N34" s="197">
        <f>GETPIVOTDATA("Sum of Old UG E-Learning",'Pivot Table for Fact Book'!$A$3,"State","MS","type",15,"Type2","Four-Year")</f>
        <v>0</v>
      </c>
      <c r="O34" s="198">
        <f>GETPIVOTDATA("Sum of New UG E-Learning",'Pivot Table for Fact Book'!$A$3,"State","MS","type",15,"Type2","Four-Year")</f>
        <v>0</v>
      </c>
      <c r="P34" s="199">
        <f>GETPIVOTDATA("Sum of Old UG E-Learning",'Pivot Table for Fact Book'!$A$3,"State","MS","Type2","Four-Year")</f>
        <v>105847</v>
      </c>
      <c r="Q34" s="199">
        <f>GETPIVOTDATA("Sum of New UG E-Learning",'Pivot Table for Fact Book'!$A$3,"State","MS","Type2","Four-Year")</f>
        <v>125763.5</v>
      </c>
      <c r="R34" s="197">
        <f>GETPIVOTDATA("Sum of Old UG E-Learning",'Pivot Table for Fact Book'!$A$3,"State","MS","type",7,"Type2","Two-Year")</f>
        <v>0</v>
      </c>
      <c r="S34" s="200">
        <f>GETPIVOTDATA("Sum of New UG E-Learning",'Pivot Table for Fact Book'!$A$3,"State","MS","type",7,"Type2","Two-Year")</f>
        <v>0</v>
      </c>
      <c r="T34" s="200">
        <f>GETPIVOTDATA("Sum of Old UG E-Learning",'Pivot Table for Fact Book'!$A$3,"State","MS","type",8,"Type2","Two-Year")</f>
        <v>160666</v>
      </c>
      <c r="U34" s="200">
        <f>GETPIVOTDATA("Sum of New UG E-Learning",'Pivot Table for Fact Book'!$A$3,"State","MS","type",8,"Type2","Two-Year")</f>
        <v>215435</v>
      </c>
      <c r="V34" s="200">
        <f>GETPIVOTDATA("Sum of Old UG E-Learning",'Pivot Table for Fact Book'!$A$3,"State","MS","type",9,"Type2","Two-Year")</f>
        <v>121307</v>
      </c>
      <c r="W34" s="200">
        <f>GETPIVOTDATA("Sum of New UG E-Learning",'Pivot Table for Fact Book'!$A$3,"State","MS","type",9,"Type2","Two-Year")</f>
        <v>172678</v>
      </c>
      <c r="X34" s="200">
        <f>GETPIVOTDATA("Sum of Old UG E-Learning",'Pivot Table for Fact Book'!$A$3,"State","MS","type",10,"Type2","Two-Year")</f>
        <v>8841</v>
      </c>
      <c r="Y34" s="200">
        <f>GETPIVOTDATA("Sum of New UG E-Learning",'Pivot Table for Fact Book'!$A$3,"State","MS","type",10,"Type2","Two-Year")</f>
        <v>11706</v>
      </c>
      <c r="Z34" s="201">
        <f>GETPIVOTDATA("Sum of Old UG E-Learning",'Pivot Table for Fact Book'!$A$3,"State","MS","Type2","Two-Year")</f>
        <v>290814</v>
      </c>
      <c r="AA34" s="201">
        <f>GETPIVOTDATA("Sum of New UG E-Learning",'Pivot Table for Fact Book'!$A$3,"State","MS","Type2","Two-Year")</f>
        <v>399819</v>
      </c>
      <c r="AB34" s="197">
        <f>GETPIVOTDATA("Sum of Old UG E-Learning",'Pivot Table for Fact Book'!$A$3,"State","MS","type",12,"Type2","Technical")</f>
        <v>0</v>
      </c>
      <c r="AC34" s="200">
        <f>GETPIVOTDATA("Sum of New UG E-Learning",'Pivot Table for Fact Book'!$A$3,"State","MS","type",12,"Type2","Technical")</f>
        <v>0</v>
      </c>
      <c r="AD34" s="200">
        <f>GETPIVOTDATA("Sum of Old UG E-Learning",'Pivot Table for Fact Book'!$A$3,"State","MS","type",13,"Type2","Technical")</f>
        <v>0</v>
      </c>
      <c r="AE34" s="200">
        <f>GETPIVOTDATA("Sum of New UG E-Learning",'Pivot Table for Fact Book'!$A$3,"State","MS","type",13,"Type2","Technical")</f>
        <v>0</v>
      </c>
      <c r="AF34" s="203">
        <f>GETPIVOTDATA("Sum of Old UG E-Learning",'Pivot Table for Fact Book'!$A$3,"State","MS","Type2","Technical")</f>
        <v>0</v>
      </c>
      <c r="AG34" s="203">
        <f>GETPIVOTDATA("Sum of New UG E-Learning",'Pivot Table for Fact Book'!$A$3,"State","MS","Type2","Technical")</f>
        <v>0</v>
      </c>
      <c r="AH34" s="14"/>
    </row>
    <row r="35" spans="1:34">
      <c r="A35" s="196" t="s">
        <v>184</v>
      </c>
      <c r="B35" s="197">
        <f>GETPIVOTDATA("Sum of Old UG E-Learning",'Pivot Table for Fact Book'!$A$3,"State","NC","type",1,"Type2","Four-Year")</f>
        <v>74174</v>
      </c>
      <c r="C35" s="198">
        <f>GETPIVOTDATA("Sum of New UG E-Learning",'Pivot Table for Fact Book'!$A$3,"State","NC","type",1,"Type2","Four-Year")</f>
        <v>85919</v>
      </c>
      <c r="D35" s="197">
        <f>GETPIVOTDATA("Sum of Old UG E-Learning",'Pivot Table for Fact Book'!$A$3,"State","NC","type",2,"Type2","Four-Year")</f>
        <v>87152</v>
      </c>
      <c r="E35" s="198">
        <f>GETPIVOTDATA("Sum of New UG E-Learning",'Pivot Table for Fact Book'!$A$3,"State","NC","type",2,"Type2","Four-Year")</f>
        <v>83767</v>
      </c>
      <c r="F35" s="197">
        <f>GETPIVOTDATA("Sum of Old UG E-Learning",'Pivot Table for Fact Book'!$A$3,"State","NC","type",3,"Type2","Four-Year")</f>
        <v>151876</v>
      </c>
      <c r="G35" s="198">
        <f>GETPIVOTDATA("Sum of New UG E-Learning",'Pivot Table for Fact Book'!$A$3,"State","NC","type",3,"Type2","Four-Year")</f>
        <v>164895</v>
      </c>
      <c r="H35" s="197">
        <f>GETPIVOTDATA("Sum of Old UG E-Learning",'Pivot Table for Fact Book'!$A$3,"State","NC","type",4,"Type2","Four-Year")</f>
        <v>16997</v>
      </c>
      <c r="I35" s="198">
        <f>GETPIVOTDATA("Sum of New UG E-Learning",'Pivot Table for Fact Book'!$A$3,"State","NC","type",4,"Type2","Four-Year")</f>
        <v>22072</v>
      </c>
      <c r="J35" s="197">
        <f>GETPIVOTDATA("Sum of Old UG E-Learning",'Pivot Table for Fact Book'!$A$3,"State","NC","type",5,"Type2","Four-Year")</f>
        <v>41237</v>
      </c>
      <c r="K35" s="198">
        <f>GETPIVOTDATA("Sum of New UG E-Learning",'Pivot Table for Fact Book'!$A$3,"State","NC","type",5,"Type2","Four-Year")</f>
        <v>51837</v>
      </c>
      <c r="L35" s="197">
        <f>GETPIVOTDATA("Sum of Old UG E-Learning",'Pivot Table for Fact Book'!$A$3,"State","NC","type",6,"Type2","Four-Year")</f>
        <v>13231</v>
      </c>
      <c r="M35" s="198">
        <f>GETPIVOTDATA("Sum of New UG E-Learning",'Pivot Table for Fact Book'!$A$3,"State","NC","type",6,"Type2","Four-Year")</f>
        <v>15046</v>
      </c>
      <c r="N35" s="197">
        <f>GETPIVOTDATA("Sum of Old UG E-Learning",'Pivot Table for Fact Book'!$A$3,"State","NC","type",15,"Type2","Four-Year")</f>
        <v>0</v>
      </c>
      <c r="O35" s="198">
        <f>GETPIVOTDATA("Sum of New UG E-Learning",'Pivot Table for Fact Book'!$A$3,"State","NC","type",15,"Type2","Four-Year")</f>
        <v>0</v>
      </c>
      <c r="P35" s="199">
        <f>GETPIVOTDATA("Sum of Old UG E-Learning",'Pivot Table for Fact Book'!$A$3,"State","NC","Type2","Four-Year")</f>
        <v>384667</v>
      </c>
      <c r="Q35" s="199">
        <f>GETPIVOTDATA("Sum of New UG E-Learning",'Pivot Table for Fact Book'!$A$3,"State","NC","Type2","Four-Year")</f>
        <v>423536</v>
      </c>
      <c r="R35" s="197">
        <f>GETPIVOTDATA("Sum of Old UG E-Learning",'Pivot Table for Fact Book'!$A$3,"State","NC","type",7,"Type2","Two-Year")</f>
        <v>0</v>
      </c>
      <c r="S35" s="200">
        <f>GETPIVOTDATA("Sum of New UG E-Learning",'Pivot Table for Fact Book'!$A$3,"State","NC","type",7,"Type2","Two-Year")</f>
        <v>0</v>
      </c>
      <c r="T35" s="200">
        <f>GETPIVOTDATA("Sum of Old UG E-Learning",'Pivot Table for Fact Book'!$A$3,"State","NC","type",8,"Type2","Two-Year")</f>
        <v>430695</v>
      </c>
      <c r="U35" s="200">
        <f>GETPIVOTDATA("Sum of New UG E-Learning",'Pivot Table for Fact Book'!$A$3,"State","NC","type",8,"Type2","Two-Year")</f>
        <v>515842</v>
      </c>
      <c r="V35" s="200">
        <f>GETPIVOTDATA("Sum of Old UG E-Learning",'Pivot Table for Fact Book'!$A$3,"State","NC","type",9,"Type2","Two-Year")</f>
        <v>425344</v>
      </c>
      <c r="W35" s="200">
        <f>GETPIVOTDATA("Sum of New UG E-Learning",'Pivot Table for Fact Book'!$A$3,"State","NC","type",9,"Type2","Two-Year")</f>
        <v>498157</v>
      </c>
      <c r="X35" s="200">
        <f>GETPIVOTDATA("Sum of Old UG E-Learning",'Pivot Table for Fact Book'!$A$3,"State","NC","type",10,"Type2","Two-Year")</f>
        <v>186007</v>
      </c>
      <c r="Y35" s="200">
        <f>GETPIVOTDATA("Sum of New UG E-Learning",'Pivot Table for Fact Book'!$A$3,"State","NC","type",10,"Type2","Two-Year")</f>
        <v>217647</v>
      </c>
      <c r="Z35" s="201">
        <f>GETPIVOTDATA("Sum of Old UG E-Learning",'Pivot Table for Fact Book'!$A$3,"State","NC","Type2","Two-Year")</f>
        <v>1042046</v>
      </c>
      <c r="AA35" s="201">
        <f>GETPIVOTDATA("Sum of New UG E-Learning",'Pivot Table for Fact Book'!$A$3,"State","NC","Type2","Two-Year")</f>
        <v>1231646</v>
      </c>
      <c r="AB35" s="197">
        <f>GETPIVOTDATA("Sum of Old UG E-Learning",'Pivot Table for Fact Book'!$A$3,"State","NC","type",12,"Type2","Technical")</f>
        <v>0</v>
      </c>
      <c r="AC35" s="200">
        <f>GETPIVOTDATA("Sum of New UG E-Learning",'Pivot Table for Fact Book'!$A$3,"State","NC","type",12,"Type2","Technical")</f>
        <v>0</v>
      </c>
      <c r="AD35" s="200">
        <f>GETPIVOTDATA("Sum of Old UG E-Learning",'Pivot Table for Fact Book'!$A$3,"State","NC","type",13,"Type2","Technical")</f>
        <v>0</v>
      </c>
      <c r="AE35" s="200">
        <f>GETPIVOTDATA("Sum of New UG E-Learning",'Pivot Table for Fact Book'!$A$3,"State","NC","type",13,"Type2","Technical")</f>
        <v>0</v>
      </c>
      <c r="AF35" s="203">
        <f>GETPIVOTDATA("Sum of Old UG E-Learning",'Pivot Table for Fact Book'!$A$3,"State","NC","Type2","Technical")</f>
        <v>0</v>
      </c>
      <c r="AG35" s="203">
        <f>GETPIVOTDATA("Sum of New UG E-Learning",'Pivot Table for Fact Book'!$A$3,"State","NC","Type2","Technical")</f>
        <v>0</v>
      </c>
      <c r="AH35" s="14"/>
    </row>
    <row r="36" spans="1:34">
      <c r="A36" s="196" t="s">
        <v>185</v>
      </c>
      <c r="B36" s="197">
        <f>GETPIVOTDATA("Sum of Old UG E-Learning",'Pivot Table for Fact Book'!$A$3,"State","OK","type",1,"Type2","Four-Year")</f>
        <v>58770</v>
      </c>
      <c r="C36" s="198">
        <f>GETPIVOTDATA("Sum of New UG E-Learning",'Pivot Table for Fact Book'!$A$3,"State","OK","type",1,"Type2","Four-Year")</f>
        <v>82885</v>
      </c>
      <c r="D36" s="197">
        <f>GETPIVOTDATA("Sum of Old UG E-Learning",'Pivot Table for Fact Book'!$A$3,"State","OK","type",2,"Type2","Four-Year")</f>
        <v>0</v>
      </c>
      <c r="E36" s="198">
        <f>GETPIVOTDATA("Sum of New UG E-Learning",'Pivot Table for Fact Book'!$A$3,"State","OK","type",2,"Type2","Four-Year")</f>
        <v>0</v>
      </c>
      <c r="F36" s="197">
        <f>GETPIVOTDATA("Sum of Old UG E-Learning",'Pivot Table for Fact Book'!$A$3,"State","OK","type",3,"Type2","Four-Year")</f>
        <v>44758</v>
      </c>
      <c r="G36" s="198">
        <f>GETPIVOTDATA("Sum of New UG E-Learning",'Pivot Table for Fact Book'!$A$3,"State","OK","type",3,"Type2","Four-Year")</f>
        <v>46358</v>
      </c>
      <c r="H36" s="197">
        <f>GETPIVOTDATA("Sum of Old UG E-Learning",'Pivot Table for Fact Book'!$A$3,"State","OK","type",4,"Type2","Four-Year")</f>
        <v>0</v>
      </c>
      <c r="I36" s="198">
        <f>GETPIVOTDATA("Sum of New UG E-Learning",'Pivot Table for Fact Book'!$A$3,"State","OK","type",4,"Type2","Four-Year")</f>
        <v>0</v>
      </c>
      <c r="J36" s="197">
        <f>GETPIVOTDATA("Sum of Old UG E-Learning",'Pivot Table for Fact Book'!$A$3,"State","OK","type",5,"Type2","Four-Year")</f>
        <v>87933</v>
      </c>
      <c r="K36" s="198">
        <f>GETPIVOTDATA("Sum of New UG E-Learning",'Pivot Table for Fact Book'!$A$3,"State","OK","type",5,"Type2","Four-Year")</f>
        <v>96036</v>
      </c>
      <c r="L36" s="197">
        <f>GETPIVOTDATA("Sum of Old UG E-Learning",'Pivot Table for Fact Book'!$A$3,"State","OK","type",6,"Type2","Four-Year")</f>
        <v>33979</v>
      </c>
      <c r="M36" s="198">
        <f>GETPIVOTDATA("Sum of New UG E-Learning",'Pivot Table for Fact Book'!$A$3,"State","OK","type",6,"Type2","Four-Year")</f>
        <v>35476</v>
      </c>
      <c r="N36" s="197">
        <f>GETPIVOTDATA("Sum of Old UG E-Learning",'Pivot Table for Fact Book'!$A$3,"State","OK","type",15,"Type2","Four-Year")</f>
        <v>0</v>
      </c>
      <c r="O36" s="198">
        <f>GETPIVOTDATA("Sum of New UG E-Learning",'Pivot Table for Fact Book'!$A$3,"State","OK","type",15,"Type2","Four-Year")</f>
        <v>0</v>
      </c>
      <c r="P36" s="199">
        <f>GETPIVOTDATA("Sum of Old UG E-Learning",'Pivot Table for Fact Book'!$A$3,"State","OK","Type2","Four-Year")</f>
        <v>225440</v>
      </c>
      <c r="Q36" s="199">
        <f>GETPIVOTDATA("Sum of New UG E-Learning",'Pivot Table for Fact Book'!$A$3,"State","OK","Type2","Four-Year")</f>
        <v>260755</v>
      </c>
      <c r="R36" s="197">
        <f>GETPIVOTDATA("Sum of Old UG E-Learning",'Pivot Table for Fact Book'!$A$3,"State","OK","type",7,"Type2","Two-Year")</f>
        <v>0</v>
      </c>
      <c r="S36" s="200">
        <f>GETPIVOTDATA("Sum of New UG E-Learning",'Pivot Table for Fact Book'!$A$3,"State","OK","type",7,"Type2","Two-Year")</f>
        <v>5961</v>
      </c>
      <c r="T36" s="200">
        <f>GETPIVOTDATA("Sum of Old UG E-Learning",'Pivot Table for Fact Book'!$A$3,"State","OK","type",8,"Type2","Two-Year")</f>
        <v>118940</v>
      </c>
      <c r="U36" s="200">
        <f>GETPIVOTDATA("Sum of New UG E-Learning",'Pivot Table for Fact Book'!$A$3,"State","OK","type",8,"Type2","Two-Year")</f>
        <v>111690</v>
      </c>
      <c r="V36" s="200">
        <f>GETPIVOTDATA("Sum of Old UG E-Learning",'Pivot Table for Fact Book'!$A$3,"State","OK","type",9,"Type2","Two-Year")</f>
        <v>84275</v>
      </c>
      <c r="W36" s="200">
        <f>GETPIVOTDATA("Sum of New UG E-Learning",'Pivot Table for Fact Book'!$A$3,"State","OK","type",9,"Type2","Two-Year")</f>
        <v>106927</v>
      </c>
      <c r="X36" s="200">
        <f>GETPIVOTDATA("Sum of Old UG E-Learning",'Pivot Table for Fact Book'!$A$3,"State","OK","type",10,"Type2","Two-Year")</f>
        <v>96769</v>
      </c>
      <c r="Y36" s="200">
        <f>GETPIVOTDATA("Sum of New UG E-Learning",'Pivot Table for Fact Book'!$A$3,"State","OK","type",10,"Type2","Two-Year")</f>
        <v>140143</v>
      </c>
      <c r="Z36" s="201">
        <f>GETPIVOTDATA("Sum of Old UG E-Learning",'Pivot Table for Fact Book'!$A$3,"State","OK","Type2","Two-Year")</f>
        <v>299984</v>
      </c>
      <c r="AA36" s="201">
        <f>GETPIVOTDATA("Sum of New UG E-Learning",'Pivot Table for Fact Book'!$A$3,"State","OK","Type2","Two-Year")</f>
        <v>364721</v>
      </c>
      <c r="AB36" s="197">
        <f>GETPIVOTDATA("Sum of Old UG E-Learning",'Pivot Table for Fact Book'!$A$3,"State","OK","type",12,"Type2","Technical")</f>
        <v>0</v>
      </c>
      <c r="AC36" s="200">
        <f>GETPIVOTDATA("Sum of New UG E-Learning",'Pivot Table for Fact Book'!$A$3,"State","OK","type",12,"Type2","Technical")</f>
        <v>0</v>
      </c>
      <c r="AD36" s="200">
        <f>GETPIVOTDATA("Sum of Old UG E-Learning",'Pivot Table for Fact Book'!$A$3,"State","OK","type",13,"Type2","Technical")</f>
        <v>0</v>
      </c>
      <c r="AE36" s="200">
        <f>GETPIVOTDATA("Sum of New UG E-Learning",'Pivot Table for Fact Book'!$A$3,"State","OK","type",13,"Type2","Technical")</f>
        <v>0</v>
      </c>
      <c r="AF36" s="203">
        <f>GETPIVOTDATA("Sum of Old UG E-Learning",'Pivot Table for Fact Book'!$A$3,"State","OK","Type2","Technical")</f>
        <v>0</v>
      </c>
      <c r="AG36" s="203">
        <f>GETPIVOTDATA("Sum of New UG E-Learning",'Pivot Table for Fact Book'!$A$3,"State","OK","Type2","Technical")</f>
        <v>0</v>
      </c>
      <c r="AH36" s="14"/>
    </row>
    <row r="37" spans="1:34">
      <c r="A37" s="196" t="s">
        <v>186</v>
      </c>
      <c r="B37" s="197">
        <f>GETPIVOTDATA("Sum of Old UG E-Learning",'Pivot Table for Fact Book'!$A$3,"State","SC","type",1,"Type2","Four-Year")</f>
        <v>35942</v>
      </c>
      <c r="C37" s="198">
        <f>GETPIVOTDATA("Sum of New UG E-Learning",'Pivot Table for Fact Book'!$A$3,"State","SC","type",1,"Type2","Four-Year")</f>
        <v>42584</v>
      </c>
      <c r="D37" s="197">
        <f>GETPIVOTDATA("Sum of Old UG E-Learning",'Pivot Table for Fact Book'!$A$3,"State","SC","type",2,"Type2","Four-Year")</f>
        <v>0</v>
      </c>
      <c r="E37" s="198">
        <f>GETPIVOTDATA("Sum of New UG E-Learning",'Pivot Table for Fact Book'!$A$3,"State","SC","type",2,"Type2","Four-Year")</f>
        <v>0</v>
      </c>
      <c r="F37" s="197">
        <f>GETPIVOTDATA("Sum of Old UG E-Learning",'Pivot Table for Fact Book'!$A$3,"State","SC","type",3,"Type2","Four-Year")</f>
        <v>0</v>
      </c>
      <c r="G37" s="198">
        <f>GETPIVOTDATA("Sum of New UG E-Learning",'Pivot Table for Fact Book'!$A$3,"State","SC","type",3,"Type2","Four-Year")</f>
        <v>312</v>
      </c>
      <c r="H37" s="197">
        <f>GETPIVOTDATA("Sum of Old UG E-Learning",'Pivot Table for Fact Book'!$A$3,"State","SC","type",4,"Type2","Four-Year")</f>
        <v>108</v>
      </c>
      <c r="I37" s="198">
        <f>GETPIVOTDATA("Sum of New UG E-Learning",'Pivot Table for Fact Book'!$A$3,"State","SC","type",4,"Type2","Four-Year")</f>
        <v>219</v>
      </c>
      <c r="J37" s="197">
        <f>GETPIVOTDATA("Sum of Old UG E-Learning",'Pivot Table for Fact Book'!$A$3,"State","SC","type",5,"Type2","Four-Year")</f>
        <v>9468</v>
      </c>
      <c r="K37" s="198">
        <f>GETPIVOTDATA("Sum of New UG E-Learning",'Pivot Table for Fact Book'!$A$3,"State","SC","type",5,"Type2","Four-Year")</f>
        <v>10168.469999999999</v>
      </c>
      <c r="L37" s="197">
        <f>GETPIVOTDATA("Sum of Old UG E-Learning",'Pivot Table for Fact Book'!$A$3,"State","SC","type",6,"Type2","Four-Year")</f>
        <v>15705</v>
      </c>
      <c r="M37" s="198">
        <f>GETPIVOTDATA("Sum of New UG E-Learning",'Pivot Table for Fact Book'!$A$3,"State","SC","type",6,"Type2","Four-Year")</f>
        <v>21272</v>
      </c>
      <c r="N37" s="197">
        <f>GETPIVOTDATA("Sum of Old UG E-Learning",'Pivot Table for Fact Book'!$A$3,"State","SC","type",15,"Type2","Four-Year")</f>
        <v>0</v>
      </c>
      <c r="O37" s="198">
        <f>GETPIVOTDATA("Sum of New UG E-Learning",'Pivot Table for Fact Book'!$A$3,"State","SC","type",15,"Type2","Four-Year")</f>
        <v>0</v>
      </c>
      <c r="P37" s="199">
        <f>GETPIVOTDATA("Sum of Old UG E-Learning",'Pivot Table for Fact Book'!$A$3,"State","SC","Type2","Four-Year")</f>
        <v>61223</v>
      </c>
      <c r="Q37" s="199">
        <f>GETPIVOTDATA("Sum of New UG E-Learning",'Pivot Table for Fact Book'!$A$3,"State","SC","Type2","Four-Year")</f>
        <v>74555.47</v>
      </c>
      <c r="R37" s="197">
        <f>GETPIVOTDATA("Sum of Old UG E-Learning",'Pivot Table for Fact Book'!$A$3,"State","SC","type",7,"Type2","Two-Year")</f>
        <v>0</v>
      </c>
      <c r="S37" s="200">
        <f>GETPIVOTDATA("Sum of New UG E-Learning",'Pivot Table for Fact Book'!$A$3,"State","SC","type",7,"Type2","Two-Year")</f>
        <v>0</v>
      </c>
      <c r="T37" s="200">
        <f>GETPIVOTDATA("Sum of Old UG E-Learning",'Pivot Table for Fact Book'!$A$3,"State","SC","type",8,"Type2","Two-Year")</f>
        <v>176988</v>
      </c>
      <c r="U37" s="200">
        <f>GETPIVOTDATA("Sum of New UG E-Learning",'Pivot Table for Fact Book'!$A$3,"State","SC","type",8,"Type2","Two-Year")</f>
        <v>214122</v>
      </c>
      <c r="V37" s="200">
        <f>GETPIVOTDATA("Sum of Old UG E-Learning",'Pivot Table for Fact Book'!$A$3,"State","SC","type",9,"Type2","Two-Year")</f>
        <v>192078</v>
      </c>
      <c r="W37" s="200">
        <f>GETPIVOTDATA("Sum of New UG E-Learning",'Pivot Table for Fact Book'!$A$3,"State","SC","type",9,"Type2","Two-Year")</f>
        <v>236187</v>
      </c>
      <c r="X37" s="200">
        <f>GETPIVOTDATA("Sum of Old UG E-Learning",'Pivot Table for Fact Book'!$A$3,"State","SC","type",10,"Type2","Two-Year")</f>
        <v>25381</v>
      </c>
      <c r="Y37" s="200">
        <f>GETPIVOTDATA("Sum of New UG E-Learning",'Pivot Table for Fact Book'!$A$3,"State","SC","type",10,"Type2","Two-Year")</f>
        <v>30293</v>
      </c>
      <c r="Z37" s="201">
        <f>GETPIVOTDATA("Sum of Old UG E-Learning",'Pivot Table for Fact Book'!$A$3,"State","SC","Type2","Two-Year")</f>
        <v>394447</v>
      </c>
      <c r="AA37" s="201">
        <f>GETPIVOTDATA("Sum of New UG E-Learning",'Pivot Table for Fact Book'!$A$3,"State","SC","Type2","Two-Year")</f>
        <v>480602</v>
      </c>
      <c r="AB37" s="197">
        <f>GETPIVOTDATA("Sum of Old UG E-Learning",'Pivot Table for Fact Book'!$A$3,"State","SC","type",12,"Type2","Technical")</f>
        <v>0</v>
      </c>
      <c r="AC37" s="200">
        <f>GETPIVOTDATA("Sum of New UG E-Learning",'Pivot Table for Fact Book'!$A$3,"State","SC","type",12,"Type2","Technical")</f>
        <v>0</v>
      </c>
      <c r="AD37" s="200">
        <f>GETPIVOTDATA("Sum of Old UG E-Learning",'Pivot Table for Fact Book'!$A$3,"State","SC","type",13,"Type2","Technical")</f>
        <v>0</v>
      </c>
      <c r="AE37" s="200">
        <f>GETPIVOTDATA("Sum of New UG E-Learning",'Pivot Table for Fact Book'!$A$3,"State","SC","type",13,"Type2","Technical")</f>
        <v>0</v>
      </c>
      <c r="AF37" s="203">
        <f>GETPIVOTDATA("Sum of Old UG E-Learning",'Pivot Table for Fact Book'!$A$3,"State","SC","Type2","Technical")</f>
        <v>0</v>
      </c>
      <c r="AG37" s="203">
        <f>GETPIVOTDATA("Sum of New UG E-Learning",'Pivot Table for Fact Book'!$A$3,"State","SC","Type2","Technical")</f>
        <v>0</v>
      </c>
      <c r="AH37" s="14"/>
    </row>
    <row r="38" spans="1:34">
      <c r="A38" s="196" t="s">
        <v>187</v>
      </c>
      <c r="B38" s="197">
        <f>GETPIVOTDATA("Sum of Old UG E-Learning",'Pivot Table for Fact Book'!$A$3,"State","TN","type",1,"Type2","Four-Year")</f>
        <v>133054</v>
      </c>
      <c r="C38" s="198">
        <f>GETPIVOTDATA("Sum of New UG E-Learning",'Pivot Table for Fact Book'!$A$3,"State","TN","type",1,"Type2","Four-Year")</f>
        <v>138967</v>
      </c>
      <c r="D38" s="197">
        <f>GETPIVOTDATA("Sum of Old UG E-Learning",'Pivot Table for Fact Book'!$A$3,"State","TN","type",2,"Type2","Four-Year")</f>
        <v>0</v>
      </c>
      <c r="E38" s="198">
        <f>GETPIVOTDATA("Sum of New UG E-Learning",'Pivot Table for Fact Book'!$A$3,"State","TN","type",2,"Type2","Four-Year")</f>
        <v>0</v>
      </c>
      <c r="F38" s="197">
        <f>GETPIVOTDATA("Sum of Old UG E-Learning",'Pivot Table for Fact Book'!$A$3,"State","TN","type",3,"Type2","Four-Year")</f>
        <v>215507</v>
      </c>
      <c r="G38" s="198">
        <f>GETPIVOTDATA("Sum of New UG E-Learning",'Pivot Table for Fact Book'!$A$3,"State","TN","type",3,"Type2","Four-Year")</f>
        <v>241645</v>
      </c>
      <c r="H38" s="197">
        <f>GETPIVOTDATA("Sum of Old UG E-Learning",'Pivot Table for Fact Book'!$A$3,"State","TN","type",4,"Type2","Four-Year")</f>
        <v>0</v>
      </c>
      <c r="I38" s="198">
        <f>GETPIVOTDATA("Sum of New UG E-Learning",'Pivot Table for Fact Book'!$A$3,"State","TN","type",4,"Type2","Four-Year")</f>
        <v>0</v>
      </c>
      <c r="J38" s="197">
        <f>GETPIVOTDATA("Sum of Old UG E-Learning",'Pivot Table for Fact Book'!$A$3,"State","TN","type",5,"Type2","Four-Year")</f>
        <v>9483</v>
      </c>
      <c r="K38" s="198">
        <f>GETPIVOTDATA("Sum of New UG E-Learning",'Pivot Table for Fact Book'!$A$3,"State","TN","type",5,"Type2","Four-Year")</f>
        <v>11593</v>
      </c>
      <c r="L38" s="197">
        <f>GETPIVOTDATA("Sum of Old UG E-Learning",'Pivot Table for Fact Book'!$A$3,"State","TN","type",6,"Type2","Four-Year")</f>
        <v>0</v>
      </c>
      <c r="M38" s="198">
        <f>GETPIVOTDATA("Sum of New UG E-Learning",'Pivot Table for Fact Book'!$A$3,"State","TN","type",6,"Type2","Four-Year")</f>
        <v>0</v>
      </c>
      <c r="N38" s="197">
        <f>GETPIVOTDATA("Sum of Old UG E-Learning",'Pivot Table for Fact Book'!$A$3,"State","TN","type",15,"Type2","Four-Year")</f>
        <v>0</v>
      </c>
      <c r="O38" s="198">
        <f>GETPIVOTDATA("Sum of New UG E-Learning",'Pivot Table for Fact Book'!$A$3,"State","TN","type",15,"Type2","Four-Year")</f>
        <v>0</v>
      </c>
      <c r="P38" s="199">
        <f>GETPIVOTDATA("Sum of Old UG E-Learning",'Pivot Table for Fact Book'!$A$3,"State","TN","Type2","Four-Year")</f>
        <v>358044</v>
      </c>
      <c r="Q38" s="199">
        <f>GETPIVOTDATA("Sum of New UG E-Learning",'Pivot Table for Fact Book'!$A$3,"State","TN","Type2","Four-Year")</f>
        <v>392205</v>
      </c>
      <c r="R38" s="197">
        <f>GETPIVOTDATA("Sum of Old UG E-Learning",'Pivot Table for Fact Book'!$A$3,"State","TN","type",7,"Type2","Two-Year")</f>
        <v>0</v>
      </c>
      <c r="S38" s="200">
        <f>GETPIVOTDATA("Sum of New UG E-Learning",'Pivot Table for Fact Book'!$A$3,"State","TN","type",7,"Type2","Two-Year")</f>
        <v>0</v>
      </c>
      <c r="T38" s="200">
        <f>GETPIVOTDATA("Sum of Old UG E-Learning",'Pivot Table for Fact Book'!$A$3,"State","TN","type",8,"Type2","Two-Year")</f>
        <v>113994</v>
      </c>
      <c r="U38" s="200">
        <f>GETPIVOTDATA("Sum of New UG E-Learning",'Pivot Table for Fact Book'!$A$3,"State","TN","type",8,"Type2","Two-Year")</f>
        <v>147110</v>
      </c>
      <c r="V38" s="200">
        <f>GETPIVOTDATA("Sum of Old UG E-Learning",'Pivot Table for Fact Book'!$A$3,"State","TN","type",9,"Type2","Two-Year")</f>
        <v>253276</v>
      </c>
      <c r="W38" s="200">
        <f>GETPIVOTDATA("Sum of New UG E-Learning",'Pivot Table for Fact Book'!$A$3,"State","TN","type",9,"Type2","Two-Year")</f>
        <v>294120</v>
      </c>
      <c r="X38" s="200">
        <f>GETPIVOTDATA("Sum of Old UG E-Learning",'Pivot Table for Fact Book'!$A$3,"State","TN","type",10,"Type2","Two-Year")</f>
        <v>11942</v>
      </c>
      <c r="Y38" s="200">
        <f>GETPIVOTDATA("Sum of New UG E-Learning",'Pivot Table for Fact Book'!$A$3,"State","TN","type",10,"Type2","Two-Year")</f>
        <v>16565</v>
      </c>
      <c r="Z38" s="201">
        <f>GETPIVOTDATA("Sum of Old UG E-Learning",'Pivot Table for Fact Book'!$A$3,"State","TN","Type2","Two-Year")</f>
        <v>379212</v>
      </c>
      <c r="AA38" s="201">
        <f>GETPIVOTDATA("Sum of New UG E-Learning",'Pivot Table for Fact Book'!$A$3,"State","TN","Type2","Two-Year")</f>
        <v>457795</v>
      </c>
      <c r="AB38" s="197">
        <f>GETPIVOTDATA("Sum of Old UG E-Learning",'Pivot Table for Fact Book'!$A$3,"State","TN","type",12,"Type2","Technical")</f>
        <v>0</v>
      </c>
      <c r="AC38" s="200">
        <f>GETPIVOTDATA("Sum of New UG E-Learning",'Pivot Table for Fact Book'!$A$3,"State","TN","type",12,"Type2","Technical")</f>
        <v>0</v>
      </c>
      <c r="AD38" s="200">
        <f>GETPIVOTDATA("Sum of Old UG E-Learning",'Pivot Table for Fact Book'!$A$3,"State","TN","type",13,"Type2","Technical")</f>
        <v>0</v>
      </c>
      <c r="AE38" s="200">
        <f>GETPIVOTDATA("Sum of New UG E-Learning",'Pivot Table for Fact Book'!$A$3,"State","TN","type",13,"Type2","Technical")</f>
        <v>0</v>
      </c>
      <c r="AF38" s="203">
        <f>GETPIVOTDATA("Sum of Old UG E-Learning",'Pivot Table for Fact Book'!$A$3,"State","TN","Type2","Technical")</f>
        <v>0</v>
      </c>
      <c r="AG38" s="203">
        <f>GETPIVOTDATA("Sum of New UG E-Learning",'Pivot Table for Fact Book'!$A$3,"State","TN","Type2","Technical")</f>
        <v>0</v>
      </c>
      <c r="AH38" s="14"/>
    </row>
    <row r="39" spans="1:34">
      <c r="A39" s="196" t="s">
        <v>188</v>
      </c>
      <c r="B39" s="197">
        <f>GETPIVOTDATA("Sum of Old UG E-Learning",'Pivot Table for Fact Book'!$A$3,"State","TX","type",1,"Type2","Four-Year")</f>
        <v>264615</v>
      </c>
      <c r="C39" s="198">
        <f>GETPIVOTDATA("Sum of New UG E-Learning",'Pivot Table for Fact Book'!$A$3,"State","TX","type",1,"Type2","Four-Year")</f>
        <v>370133</v>
      </c>
      <c r="D39" s="197">
        <f>GETPIVOTDATA("Sum of Old UG E-Learning",'Pivot Table for Fact Book'!$A$3,"State","TX","type",2,"Type2","Four-Year")</f>
        <v>66914</v>
      </c>
      <c r="E39" s="198">
        <f>GETPIVOTDATA("Sum of New UG E-Learning",'Pivot Table for Fact Book'!$A$3,"State","TX","type",2,"Type2","Four-Year")</f>
        <v>88967</v>
      </c>
      <c r="F39" s="197">
        <f>GETPIVOTDATA("Sum of Old UG E-Learning",'Pivot Table for Fact Book'!$A$3,"State","TX","type",3,"Type2","Four-Year")</f>
        <v>226612</v>
      </c>
      <c r="G39" s="198">
        <f>GETPIVOTDATA("Sum of New UG E-Learning",'Pivot Table for Fact Book'!$A$3,"State","TX","type",3,"Type2","Four-Year")</f>
        <v>306055</v>
      </c>
      <c r="H39" s="197">
        <f>GETPIVOTDATA("Sum of Old UG E-Learning",'Pivot Table for Fact Book'!$A$3,"State","TX","type",4,"Type2","Four-Year")</f>
        <v>43153</v>
      </c>
      <c r="I39" s="198">
        <f>GETPIVOTDATA("Sum of New UG E-Learning",'Pivot Table for Fact Book'!$A$3,"State","TX","type",4,"Type2","Four-Year")</f>
        <v>56016</v>
      </c>
      <c r="J39" s="197">
        <f>GETPIVOTDATA("Sum of Old UG E-Learning",'Pivot Table for Fact Book'!$A$3,"State","TX","type",5,"Type2","Four-Year")</f>
        <v>34902</v>
      </c>
      <c r="K39" s="198">
        <f>GETPIVOTDATA("Sum of New UG E-Learning",'Pivot Table for Fact Book'!$A$3,"State","TX","type",5,"Type2","Four-Year")</f>
        <v>49229</v>
      </c>
      <c r="L39" s="197">
        <f>GETPIVOTDATA("Sum of Old UG E-Learning",'Pivot Table for Fact Book'!$A$3,"State","TX","type",6,"Type2","Four-Year")</f>
        <v>0</v>
      </c>
      <c r="M39" s="198">
        <f>GETPIVOTDATA("Sum of New UG E-Learning",'Pivot Table for Fact Book'!$A$3,"State","TX","type",6,"Type2","Four-Year")</f>
        <v>6</v>
      </c>
      <c r="N39" s="197">
        <f>GETPIVOTDATA("Sum of Old UG E-Learning",'Pivot Table for Fact Book'!$A$3,"State","TX","type",15,"Type2","Four-Year")</f>
        <v>0</v>
      </c>
      <c r="O39" s="198">
        <f>GETPIVOTDATA("Sum of New UG E-Learning",'Pivot Table for Fact Book'!$A$3,"State","TX","type",15,"Type2","Four-Year")</f>
        <v>0</v>
      </c>
      <c r="P39" s="199">
        <f>GETPIVOTDATA("Sum of Old UG E-Learning",'Pivot Table for Fact Book'!$A$3,"State","TX","Type2","Four-Year")</f>
        <v>636196</v>
      </c>
      <c r="Q39" s="199">
        <f>GETPIVOTDATA("Sum of New UG E-Learning",'Pivot Table for Fact Book'!$A$3,"State","TX","Type2","Four-Year")</f>
        <v>870406</v>
      </c>
      <c r="R39" s="197">
        <f>GETPIVOTDATA("Sum of Old UG E-Learning",'Pivot Table for Fact Book'!$A$3,"State","TX","type",7,"Type2","Two-Year")</f>
        <v>98090</v>
      </c>
      <c r="S39" s="200">
        <f>GETPIVOTDATA("Sum of New UG E-Learning",'Pivot Table for Fact Book'!$A$3,"State","TX","type",7,"Type2","Two-Year")</f>
        <v>128838</v>
      </c>
      <c r="T39" s="200">
        <f>GETPIVOTDATA("Sum of Old UG E-Learning",'Pivot Table for Fact Book'!$A$3,"State","TX","type",8,"Type2","Two-Year")</f>
        <v>1532408</v>
      </c>
      <c r="U39" s="200">
        <f>GETPIVOTDATA("Sum of New UG E-Learning",'Pivot Table for Fact Book'!$A$3,"State","TX","type",8,"Type2","Two-Year")</f>
        <v>1848878</v>
      </c>
      <c r="V39" s="200">
        <f>GETPIVOTDATA("Sum of Old UG E-Learning",'Pivot Table for Fact Book'!$A$3,"State","TX","type",9,"Type2","Two-Year")</f>
        <v>428340</v>
      </c>
      <c r="W39" s="200">
        <f>GETPIVOTDATA("Sum of New UG E-Learning",'Pivot Table for Fact Book'!$A$3,"State","TX","type",9,"Type2","Two-Year")</f>
        <v>519501</v>
      </c>
      <c r="X39" s="200">
        <f>GETPIVOTDATA("Sum of Old UG E-Learning",'Pivot Table for Fact Book'!$A$3,"State","TX","type",10,"Type2","Two-Year")</f>
        <v>96413</v>
      </c>
      <c r="Y39" s="200">
        <f>GETPIVOTDATA("Sum of New UG E-Learning",'Pivot Table for Fact Book'!$A$3,"State","TX","type",10,"Type2","Two-Year")</f>
        <v>107951</v>
      </c>
      <c r="Z39" s="201">
        <f>GETPIVOTDATA("Sum of Old UG E-Learning",'Pivot Table for Fact Book'!$A$3,"State","TX","Type2","Two-Year")</f>
        <v>2155251</v>
      </c>
      <c r="AA39" s="201">
        <f>GETPIVOTDATA("Sum of New UG E-Learning",'Pivot Table for Fact Book'!$A$3,"State","TX","Type2","Two-Year")</f>
        <v>2605168</v>
      </c>
      <c r="AB39" s="197">
        <f>GETPIVOTDATA("Sum of Old UG E-Learning",'Pivot Table for Fact Book'!$A$3,"State","TX","type",12,"Type2","Technical")</f>
        <v>0</v>
      </c>
      <c r="AC39" s="200">
        <f>GETPIVOTDATA("Sum of New UG E-Learning",'Pivot Table for Fact Book'!$A$3,"State","TX","type",12,"Type2","Technical")</f>
        <v>0</v>
      </c>
      <c r="AD39" s="200">
        <f>GETPIVOTDATA("Sum of Old UG E-Learning",'Pivot Table for Fact Book'!$A$3,"State","TX","type",13,"Type2","Technical")</f>
        <v>0</v>
      </c>
      <c r="AE39" s="200">
        <f>GETPIVOTDATA("Sum of New UG E-Learning",'Pivot Table for Fact Book'!$A$3,"State","TX","type",13,"Type2","Technical")</f>
        <v>0</v>
      </c>
      <c r="AF39" s="203">
        <f>GETPIVOTDATA("Sum of Old UG E-Learning",'Pivot Table for Fact Book'!$A$3,"State","TX","Type2","Technical")</f>
        <v>0</v>
      </c>
      <c r="AG39" s="203">
        <f>GETPIVOTDATA("Sum of New UG E-Learning",'Pivot Table for Fact Book'!$A$3,"State","TX","Type2","Technical")</f>
        <v>0</v>
      </c>
      <c r="AH39" s="14"/>
    </row>
    <row r="40" spans="1:34">
      <c r="A40" s="196" t="s">
        <v>189</v>
      </c>
      <c r="B40" s="197">
        <f>GETPIVOTDATA("Sum of Old UG E-Learning",'Pivot Table for Fact Book'!$A$3,"State","VA","type",1,"Type2","Four-Year")</f>
        <v>0</v>
      </c>
      <c r="C40" s="198">
        <f>GETPIVOTDATA("Sum of New UG E-Learning",'Pivot Table for Fact Book'!$A$3,"State","VA","type",1,"Type2","Four-Year")</f>
        <v>86712</v>
      </c>
      <c r="D40" s="197">
        <f>GETPIVOTDATA("Sum of Old UG E-Learning",'Pivot Table for Fact Book'!$A$3,"State","VA","type",2,"Type2","Four-Year")</f>
        <v>0</v>
      </c>
      <c r="E40" s="198">
        <f>GETPIVOTDATA("Sum of New UG E-Learning",'Pivot Table for Fact Book'!$A$3,"State","VA","type",2,"Type2","Four-Year")</f>
        <v>15580</v>
      </c>
      <c r="F40" s="197">
        <f>GETPIVOTDATA("Sum of Old UG E-Learning",'Pivot Table for Fact Book'!$A$3,"State","VA","type",3,"Type2","Four-Year")</f>
        <v>0</v>
      </c>
      <c r="G40" s="198">
        <f>GETPIVOTDATA("Sum of New UG E-Learning",'Pivot Table for Fact Book'!$A$3,"State","VA","type",3,"Type2","Four-Year")</f>
        <v>18759</v>
      </c>
      <c r="H40" s="197">
        <f>GETPIVOTDATA("Sum of Old UG E-Learning",'Pivot Table for Fact Book'!$A$3,"State","VA","type",4,"Type2","Four-Year")</f>
        <v>0</v>
      </c>
      <c r="I40" s="198">
        <f>GETPIVOTDATA("Sum of New UG E-Learning",'Pivot Table for Fact Book'!$A$3,"State","VA","type",4,"Type2","Four-Year")</f>
        <v>10325</v>
      </c>
      <c r="J40" s="197">
        <f>GETPIVOTDATA("Sum of Old UG E-Learning",'Pivot Table for Fact Book'!$A$3,"State","VA","type",5,"Type2","Four-Year")</f>
        <v>0</v>
      </c>
      <c r="K40" s="198">
        <f>GETPIVOTDATA("Sum of New UG E-Learning",'Pivot Table for Fact Book'!$A$3,"State","VA","type",5,"Type2","Four-Year")</f>
        <v>5733</v>
      </c>
      <c r="L40" s="197">
        <f>GETPIVOTDATA("Sum of Old UG E-Learning",'Pivot Table for Fact Book'!$A$3,"State","VA","type",6,"Type2","Four-Year")</f>
        <v>0</v>
      </c>
      <c r="M40" s="198">
        <f>GETPIVOTDATA("Sum of New UG E-Learning",'Pivot Table for Fact Book'!$A$3,"State","VA","type",6,"Type2","Four-Year")</f>
        <v>2020</v>
      </c>
      <c r="N40" s="197">
        <f>GETPIVOTDATA("Sum of Old UG E-Learning",'Pivot Table for Fact Book'!$A$3,"State","VA","type",15,"Type2","Four-Year")</f>
        <v>0</v>
      </c>
      <c r="O40" s="198">
        <f>GETPIVOTDATA("Sum of New UG E-Learning",'Pivot Table for Fact Book'!$A$3,"State","VA","type",15,"Type2","Four-Year")</f>
        <v>0</v>
      </c>
      <c r="P40" s="199">
        <f>GETPIVOTDATA("Sum of Old UG E-Learning",'Pivot Table for Fact Book'!$A$3,"State","VA","Type2","Four-Year")</f>
        <v>0</v>
      </c>
      <c r="Q40" s="199">
        <f>GETPIVOTDATA("Sum of New UG E-Learning",'Pivot Table for Fact Book'!$A$3,"State","VA","Type2","Four-Year")</f>
        <v>139129</v>
      </c>
      <c r="R40" s="197">
        <f>GETPIVOTDATA("Sum of Old UG E-Learning",'Pivot Table for Fact Book'!$A$3,"State","VA","type",7,"Type2","Two-Year")</f>
        <v>0</v>
      </c>
      <c r="S40" s="200">
        <f>GETPIVOTDATA("Sum of New UG E-Learning",'Pivot Table for Fact Book'!$A$3,"State","VA","type",7,"Type2","Two-Year")</f>
        <v>0</v>
      </c>
      <c r="T40" s="200">
        <f>GETPIVOTDATA("Sum of Old UG E-Learning",'Pivot Table for Fact Book'!$A$3,"State","VA","type",8,"Type2","Two-Year")</f>
        <v>0</v>
      </c>
      <c r="U40" s="200">
        <f>GETPIVOTDATA("Sum of New UG E-Learning",'Pivot Table for Fact Book'!$A$3,"State","VA","type",8,"Type2","Two-Year")</f>
        <v>475722</v>
      </c>
      <c r="V40" s="200">
        <f>GETPIVOTDATA("Sum of Old UG E-Learning",'Pivot Table for Fact Book'!$A$3,"State","VA","type",9,"Type2","Two-Year")</f>
        <v>0</v>
      </c>
      <c r="W40" s="200">
        <f>GETPIVOTDATA("Sum of New UG E-Learning",'Pivot Table for Fact Book'!$A$3,"State","VA","type",9,"Type2","Two-Year")</f>
        <v>273053</v>
      </c>
      <c r="X40" s="200">
        <f>GETPIVOTDATA("Sum of Old UG E-Learning",'Pivot Table for Fact Book'!$A$3,"State","VA","type",10,"Type2","Two-Year")</f>
        <v>0</v>
      </c>
      <c r="Y40" s="200">
        <f>GETPIVOTDATA("Sum of New UG E-Learning",'Pivot Table for Fact Book'!$A$3,"State","VA","type",10,"Type2","Two-Year")</f>
        <v>144987</v>
      </c>
      <c r="Z40" s="201">
        <f>GETPIVOTDATA("Sum of Old UG E-Learning",'Pivot Table for Fact Book'!$A$3,"State","VA","Type2","Two-Year")</f>
        <v>0</v>
      </c>
      <c r="AA40" s="201">
        <f>GETPIVOTDATA("Sum of New UG E-Learning",'Pivot Table for Fact Book'!$A$3,"State","VA","Type2","Two-Year")</f>
        <v>893762</v>
      </c>
      <c r="AB40" s="197">
        <f>GETPIVOTDATA("Sum of Old UG E-Learning",'Pivot Table for Fact Book'!$A$3,"State","VA","type",12,"Type2","Technical")</f>
        <v>0</v>
      </c>
      <c r="AC40" s="200">
        <f>GETPIVOTDATA("Sum of New UG E-Learning",'Pivot Table for Fact Book'!$A$3,"State","VA","type",12,"Type2","Technical")</f>
        <v>0</v>
      </c>
      <c r="AD40" s="200">
        <f>GETPIVOTDATA("Sum of Old UG E-Learning",'Pivot Table for Fact Book'!$A$3,"State","VA","type",13,"Type2","Technical")</f>
        <v>0</v>
      </c>
      <c r="AE40" s="200">
        <f>GETPIVOTDATA("Sum of New UG E-Learning",'Pivot Table for Fact Book'!$A$3,"State","VA","type",13,"Type2","Technical")</f>
        <v>0</v>
      </c>
      <c r="AF40" s="203">
        <f>GETPIVOTDATA("Sum of Old UG E-Learning",'Pivot Table for Fact Book'!$A$3,"State","VA","Type2","Technical")</f>
        <v>0</v>
      </c>
      <c r="AG40" s="203">
        <f>GETPIVOTDATA("Sum of New UG E-Learning",'Pivot Table for Fact Book'!$A$3,"State","VA","Type2","Technical")</f>
        <v>0</v>
      </c>
      <c r="AH40" s="14"/>
    </row>
    <row r="41" spans="1:34">
      <c r="A41" s="196" t="s">
        <v>190</v>
      </c>
      <c r="B41" s="197">
        <f>GETPIVOTDATA("Sum of Old UG E-Learning",'Pivot Table for Fact Book'!$A$3,"State","WV","type",1,"Type2","Four-Year")</f>
        <v>38943</v>
      </c>
      <c r="C41" s="198">
        <f>GETPIVOTDATA("Sum of New UG E-Learning",'Pivot Table for Fact Book'!$A$3,"State","WV","type",1,"Type2","Four-Year")</f>
        <v>42506</v>
      </c>
      <c r="D41" s="197">
        <f>GETPIVOTDATA("Sum of Old UG E-Learning",'Pivot Table for Fact Book'!$A$3,"State","WV","type",2,"Type2","Four-Year")</f>
        <v>0</v>
      </c>
      <c r="E41" s="198">
        <f>GETPIVOTDATA("Sum of New UG E-Learning",'Pivot Table for Fact Book'!$A$3,"State","WV","type",2,"Type2","Four-Year")</f>
        <v>0</v>
      </c>
      <c r="F41" s="197">
        <f>GETPIVOTDATA("Sum of Old UG E-Learning",'Pivot Table for Fact Book'!$A$3,"State","WV","type",3,"Type2","Four-Year")</f>
        <v>31400</v>
      </c>
      <c r="G41" s="198">
        <f>GETPIVOTDATA("Sum of New UG E-Learning",'Pivot Table for Fact Book'!$A$3,"State","WV","type",3,"Type2","Four-Year")</f>
        <v>34846</v>
      </c>
      <c r="H41" s="197">
        <f>GETPIVOTDATA("Sum of Old UG E-Learning",'Pivot Table for Fact Book'!$A$3,"State","WV","type",4,"Type2","Four-Year")</f>
        <v>0</v>
      </c>
      <c r="I41" s="198">
        <f>GETPIVOTDATA("Sum of New UG E-Learning",'Pivot Table for Fact Book'!$A$3,"State","WV","type",4,"Type2","Four-Year")</f>
        <v>0</v>
      </c>
      <c r="J41" s="197">
        <f>GETPIVOTDATA("Sum of Old UG E-Learning",'Pivot Table for Fact Book'!$A$3,"State","WV","type",5,"Type2","Four-Year")</f>
        <v>14547</v>
      </c>
      <c r="K41" s="198">
        <f>GETPIVOTDATA("Sum of New UG E-Learning",'Pivot Table for Fact Book'!$A$3,"State","WV","type",5,"Type2","Four-Year")</f>
        <v>15796</v>
      </c>
      <c r="L41" s="197">
        <f>GETPIVOTDATA("Sum of Old UG E-Learning",'Pivot Table for Fact Book'!$A$3,"State","WV","type",6,"Type2","Four-Year")</f>
        <v>30338</v>
      </c>
      <c r="M41" s="198">
        <f>GETPIVOTDATA("Sum of New UG E-Learning",'Pivot Table for Fact Book'!$A$3,"State","WV","type",6,"Type2","Four-Year")</f>
        <v>40016</v>
      </c>
      <c r="N41" s="197">
        <f>GETPIVOTDATA("Sum of Old UG E-Learning",'Pivot Table for Fact Book'!$A$3,"State","WV","type",15,"Type2","Four-Year")</f>
        <v>0</v>
      </c>
      <c r="O41" s="198">
        <f>GETPIVOTDATA("Sum of New UG E-Learning",'Pivot Table for Fact Book'!$A$3,"State","WV","type",15,"Type2","Four-Year")</f>
        <v>0</v>
      </c>
      <c r="P41" s="199">
        <f>GETPIVOTDATA("Sum of Old UG E-Learning",'Pivot Table for Fact Book'!$A$3,"State","WV","Type2","Four-Year")</f>
        <v>115228</v>
      </c>
      <c r="Q41" s="199">
        <f>GETPIVOTDATA("Sum of New UG E-Learning",'Pivot Table for Fact Book'!$A$3,"State","WV","Type2","Four-Year")</f>
        <v>133164</v>
      </c>
      <c r="R41" s="197">
        <f>GETPIVOTDATA("Sum of Old UG E-Learning",'Pivot Table for Fact Book'!$A$3,"State","WV","type",7,"Type2","Two-Year")</f>
        <v>21874</v>
      </c>
      <c r="S41" s="200">
        <f>GETPIVOTDATA("Sum of New UG E-Learning",'Pivot Table for Fact Book'!$A$3,"State","WV","type",7,"Type2","Two-Year")</f>
        <v>27169</v>
      </c>
      <c r="T41" s="200">
        <f>GETPIVOTDATA("Sum of Old UG E-Learning",'Pivot Table for Fact Book'!$A$3,"State","WV","type",8,"Type2","Two-Year")</f>
        <v>0</v>
      </c>
      <c r="U41" s="200">
        <f>GETPIVOTDATA("Sum of New UG E-Learning",'Pivot Table for Fact Book'!$A$3,"State","WV","type",8,"Type2","Two-Year")</f>
        <v>0</v>
      </c>
      <c r="V41" s="200">
        <f>GETPIVOTDATA("Sum of Old UG E-Learning",'Pivot Table for Fact Book'!$A$3,"State","WV","type",9,"Type2","Two-Year")</f>
        <v>0</v>
      </c>
      <c r="W41" s="200">
        <f>GETPIVOTDATA("Sum of New UG E-Learning",'Pivot Table for Fact Book'!$A$3,"State","WV","type",9,"Type2","Two-Year")</f>
        <v>0</v>
      </c>
      <c r="X41" s="200">
        <f>GETPIVOTDATA("Sum of Old UG E-Learning",'Pivot Table for Fact Book'!$A$3,"State","WV","type",10,"Type2","Two-Year")</f>
        <v>57459</v>
      </c>
      <c r="Y41" s="200">
        <f>GETPIVOTDATA("Sum of New UG E-Learning",'Pivot Table for Fact Book'!$A$3,"State","WV","type",10,"Type2","Two-Year")</f>
        <v>74603</v>
      </c>
      <c r="Z41" s="201">
        <f>GETPIVOTDATA("Sum of Old UG E-Learning",'Pivot Table for Fact Book'!$A$3,"State","WV","Type2","Two-Year")</f>
        <v>79333</v>
      </c>
      <c r="AA41" s="201">
        <f>GETPIVOTDATA("Sum of New UG E-Learning",'Pivot Table for Fact Book'!$A$3,"State","WV","Type2","Two-Year")</f>
        <v>101772</v>
      </c>
      <c r="AB41" s="197">
        <f>GETPIVOTDATA("Sum of Old UG E-Learning",'Pivot Table for Fact Book'!$A$3,"State","WV","type",12,"Type2","Technical")</f>
        <v>0</v>
      </c>
      <c r="AC41" s="200">
        <f>GETPIVOTDATA("Sum of New UG E-Learning",'Pivot Table for Fact Book'!$A$3,"State","WV","type",12,"Type2","Technical")</f>
        <v>0</v>
      </c>
      <c r="AD41" s="200">
        <f>GETPIVOTDATA("Sum of Old UG E-Learning",'Pivot Table for Fact Book'!$A$3,"State","WV","type",13,"Type2","Technical")</f>
        <v>0</v>
      </c>
      <c r="AE41" s="200">
        <f>GETPIVOTDATA("Sum of New UG E-Learning",'Pivot Table for Fact Book'!$A$3,"State","WV","type",13,"Type2","Technical")</f>
        <v>0</v>
      </c>
      <c r="AF41" s="203">
        <f>GETPIVOTDATA("Sum of Old UG E-Learning",'Pivot Table for Fact Book'!$A$3,"State","WV","Type2","Technical")</f>
        <v>0</v>
      </c>
      <c r="AG41" s="203">
        <f>GETPIVOTDATA("Sum of New UG E-Learning",'Pivot Table for Fact Book'!$A$3,"State","WV","Type2","Technical")</f>
        <v>0</v>
      </c>
      <c r="AH41" s="14"/>
    </row>
    <row r="43" spans="1:34">
      <c r="A43" s="62" t="s">
        <v>233</v>
      </c>
    </row>
    <row r="44" spans="1:34">
      <c r="B44" s="181" t="s">
        <v>228</v>
      </c>
      <c r="C44" s="182"/>
      <c r="D44" s="182"/>
      <c r="E44" s="182"/>
      <c r="F44" s="182"/>
      <c r="G44" s="182"/>
      <c r="H44" s="182"/>
      <c r="I44" s="182"/>
      <c r="J44" s="182"/>
      <c r="K44" s="182"/>
      <c r="L44" s="182"/>
      <c r="M44" s="182"/>
      <c r="N44" s="182"/>
      <c r="O44" s="182"/>
      <c r="P44" s="182"/>
      <c r="Q44" s="183"/>
      <c r="R44" s="184" t="s">
        <v>229</v>
      </c>
      <c r="S44" s="185"/>
      <c r="T44" s="185"/>
      <c r="U44" s="185"/>
      <c r="V44" s="185"/>
      <c r="W44" s="185"/>
      <c r="X44" s="185"/>
      <c r="Y44" s="185"/>
      <c r="Z44" s="185"/>
      <c r="AA44" s="186"/>
      <c r="AB44" s="187" t="s">
        <v>230</v>
      </c>
      <c r="AC44" s="188"/>
      <c r="AD44" s="188"/>
      <c r="AE44" s="188"/>
      <c r="AF44" s="188"/>
      <c r="AG44" s="188"/>
    </row>
    <row r="45" spans="1:34">
      <c r="B45" s="189">
        <v>1</v>
      </c>
      <c r="C45" s="190"/>
      <c r="D45" s="189">
        <v>2</v>
      </c>
      <c r="E45" s="190"/>
      <c r="F45" s="189">
        <v>3</v>
      </c>
      <c r="G45" s="190"/>
      <c r="H45" s="189">
        <v>4</v>
      </c>
      <c r="I45" s="190"/>
      <c r="J45" s="189">
        <v>5</v>
      </c>
      <c r="K45" s="190"/>
      <c r="L45" s="189">
        <v>6</v>
      </c>
      <c r="M45" s="190"/>
      <c r="N45" s="189">
        <v>15</v>
      </c>
      <c r="O45" s="190"/>
      <c r="P45" s="189" t="s">
        <v>231</v>
      </c>
      <c r="Q45" s="191"/>
      <c r="R45" s="192">
        <v>7</v>
      </c>
      <c r="S45" s="193"/>
      <c r="T45" s="192">
        <v>8</v>
      </c>
      <c r="U45" s="193"/>
      <c r="V45" s="192">
        <v>9</v>
      </c>
      <c r="W45" s="193"/>
      <c r="X45" s="192">
        <v>10</v>
      </c>
      <c r="Y45" s="193"/>
      <c r="Z45" s="192" t="s">
        <v>231</v>
      </c>
      <c r="AA45" s="193"/>
      <c r="AB45" s="194">
        <v>12</v>
      </c>
      <c r="AC45" s="195"/>
      <c r="AD45" s="194">
        <v>13</v>
      </c>
      <c r="AE45" s="195"/>
      <c r="AF45" s="194" t="s">
        <v>231</v>
      </c>
      <c r="AG45" s="195"/>
    </row>
    <row r="46" spans="1:34">
      <c r="B46" s="324">
        <v>2009</v>
      </c>
      <c r="C46" s="325">
        <v>2010</v>
      </c>
      <c r="D46" s="324">
        <v>2009</v>
      </c>
      <c r="E46" s="325">
        <v>2010</v>
      </c>
      <c r="F46" s="324">
        <v>2009</v>
      </c>
      <c r="G46" s="325">
        <v>2010</v>
      </c>
      <c r="H46" s="324">
        <v>2009</v>
      </c>
      <c r="I46" s="325">
        <v>2010</v>
      </c>
      <c r="J46" s="324">
        <v>2009</v>
      </c>
      <c r="K46" s="325">
        <v>2010</v>
      </c>
      <c r="L46" s="324">
        <v>2009</v>
      </c>
      <c r="M46" s="325">
        <v>2010</v>
      </c>
      <c r="N46" s="324">
        <v>2009</v>
      </c>
      <c r="O46" s="325">
        <v>2010</v>
      </c>
      <c r="P46" s="324">
        <v>2009</v>
      </c>
      <c r="Q46" s="325">
        <v>2010</v>
      </c>
      <c r="R46" s="326">
        <v>2009</v>
      </c>
      <c r="S46" s="327">
        <v>2010</v>
      </c>
      <c r="T46" s="326">
        <v>2009</v>
      </c>
      <c r="U46" s="327">
        <v>2010</v>
      </c>
      <c r="V46" s="326">
        <v>2009</v>
      </c>
      <c r="W46" s="327">
        <v>2010</v>
      </c>
      <c r="X46" s="326">
        <v>2009</v>
      </c>
      <c r="Y46" s="327">
        <v>2010</v>
      </c>
      <c r="Z46" s="326">
        <v>2009</v>
      </c>
      <c r="AA46" s="327">
        <v>2010</v>
      </c>
      <c r="AB46" s="328">
        <v>2009</v>
      </c>
      <c r="AC46" s="329">
        <v>2010</v>
      </c>
      <c r="AD46" s="328">
        <v>2009</v>
      </c>
      <c r="AE46" s="329">
        <v>2010</v>
      </c>
      <c r="AF46" s="328">
        <v>2009</v>
      </c>
      <c r="AG46" s="329">
        <v>2010</v>
      </c>
      <c r="AH46" s="14"/>
    </row>
    <row r="47" spans="1:34">
      <c r="A47" s="196" t="s">
        <v>175</v>
      </c>
      <c r="B47" s="197">
        <f>GETPIVOTDATA("Sum of Old-Tot G SCH Calc",'Pivot Table for Fact Book'!$A$3,"State","AL","type",1,"Type2","Four-Year")</f>
        <v>203101</v>
      </c>
      <c r="C47" s="198">
        <f>GETPIVOTDATA("Sum of New-Tot G SCH Calc",'Pivot Table for Fact Book'!$A$3,"State","AL","type",1,"Type2","Four-Year")</f>
        <v>235423</v>
      </c>
      <c r="D47" s="197">
        <f>GETPIVOTDATA("Sum of Old-Tot G SCH Calc",'Pivot Table for Fact Book'!$A$3,"State","AL","type",2,"Type2","Four-Year")</f>
        <v>21141</v>
      </c>
      <c r="E47" s="198">
        <f>GETPIVOTDATA("Sum of New-Tot G SCH Calc",'Pivot Table for Fact Book'!$A$3,"State","AL","type",2,"Type2","Four-Year")</f>
        <v>21952</v>
      </c>
      <c r="F47" s="197">
        <f>GETPIVOTDATA("Sum of Old-Tot G SCH Calc",'Pivot Table for Fact Book'!$A$3,"State","AL","type",3,"Type2","Four-Year")</f>
        <v>105605</v>
      </c>
      <c r="G47" s="198">
        <f>GETPIVOTDATA("Sum of New-Tot G SCH Calc",'Pivot Table for Fact Book'!$A$3,"State","AL","type",3,"Type2","Four-Year")</f>
        <v>105605</v>
      </c>
      <c r="H47" s="197">
        <f>GETPIVOTDATA("Sum of Old-Tot G SCH Calc",'Pivot Table for Fact Book'!$A$3,"State","AL","type",4,"Type2","Four-Year")</f>
        <v>46787.5</v>
      </c>
      <c r="I47" s="198">
        <f>GETPIVOTDATA("Sum of New-Tot G SCH Calc",'Pivot Table for Fact Book'!$A$3,"State","AL","type",4,"Type2","Four-Year")</f>
        <v>49129</v>
      </c>
      <c r="J47" s="197">
        <f>GETPIVOTDATA("Sum of Old-Tot G SCH Calc",'Pivot Table for Fact Book'!$A$3,"State","AL","type",5,"Type2","Four-Year")</f>
        <v>95000</v>
      </c>
      <c r="K47" s="198">
        <f>GETPIVOTDATA("Sum of New-Tot G SCH Calc",'Pivot Table for Fact Book'!$A$3,"State","AL","type",5,"Type2","Four-Year")</f>
        <v>57895</v>
      </c>
      <c r="L47" s="197">
        <f>GETPIVOTDATA("Sum of Old-Tot G SCH Calc",'Pivot Table for Fact Book'!$A$3,"State","AL","type",6,"Type2","Four-Year")</f>
        <v>0</v>
      </c>
      <c r="M47" s="198">
        <f>GETPIVOTDATA("Sum of New-Tot G SCH Calc",'Pivot Table for Fact Book'!$A$3,"State","AL","type",6,"Type2","Four-Year")</f>
        <v>0</v>
      </c>
      <c r="N47" s="197">
        <f>GETPIVOTDATA("Sum of Old-Tot G SCH Calc",'Pivot Table for Fact Book'!$A$3,"State","AL","type",15,"Type2","Four-Year")</f>
        <v>0</v>
      </c>
      <c r="O47" s="198">
        <f>GETPIVOTDATA("Sum of New-Tot G SCH Calc",'Pivot Table for Fact Book'!$A$3,"State","AL","type",15,"Type2","Four-Year")</f>
        <v>0</v>
      </c>
      <c r="P47" s="199">
        <f>GETPIVOTDATA("Sum of Old-Tot G SCH Calc",'Pivot Table for Fact Book'!$A$3,"State","AL","Type2","Four-Year")</f>
        <v>471634.5</v>
      </c>
      <c r="Q47" s="199">
        <f>GETPIVOTDATA("Sum of New-Tot G SCH Calc",'Pivot Table for Fact Book'!$A$3,"State","AL","Type2","Four-Year")</f>
        <v>470004</v>
      </c>
      <c r="R47" s="197">
        <f>GETPIVOTDATA("Sum of Old-Tot G SCH Calc",'Pivot Table for Fact Book'!$A$3,"State","AL","type",7,"Type2","Two-Year")</f>
        <v>0</v>
      </c>
      <c r="S47" s="200">
        <f>GETPIVOTDATA("Sum of New-Tot G SCH Calc",'Pivot Table for Fact Book'!$A$3,"State","AL","type",7,"Type2","Two-Year")</f>
        <v>0</v>
      </c>
      <c r="T47" s="200">
        <f>GETPIVOTDATA("Sum of Old-Tot G SCH Calc",'Pivot Table for Fact Book'!$A$3,"State","AL","type",8,"Type2","Two-Year")</f>
        <v>0</v>
      </c>
      <c r="U47" s="200">
        <f>GETPIVOTDATA("Sum of New-Tot G SCH Calc",'Pivot Table for Fact Book'!$A$3,"State","AL","type",8,"Type2","Two-Year")</f>
        <v>0</v>
      </c>
      <c r="V47" s="200">
        <f>GETPIVOTDATA("Sum of Old-Tot G SCH Calc",'Pivot Table for Fact Book'!$A$3,"State","AL","type",9,"Type2","Two-Year")</f>
        <v>0</v>
      </c>
      <c r="W47" s="200">
        <f>GETPIVOTDATA("Sum of New-Tot G SCH Calc",'Pivot Table for Fact Book'!$A$3,"State","AL","type",9,"Type2","Two-Year")</f>
        <v>0</v>
      </c>
      <c r="X47" s="200">
        <f>GETPIVOTDATA("Sum of Old-Tot G SCH Calc",'Pivot Table for Fact Book'!$A$3,"State","AL","type",10,"Type2","Two-Year")</f>
        <v>0</v>
      </c>
      <c r="Y47" s="200">
        <f>GETPIVOTDATA("Sum of New-Tot G SCH Calc",'Pivot Table for Fact Book'!$A$3,"State","AL","type",10,"Type2","Two-Year")</f>
        <v>0</v>
      </c>
      <c r="Z47" s="201">
        <f>GETPIVOTDATA("Sum of Old-Tot G SCH Calc",'Pivot Table for Fact Book'!$A$3,"State","AL","Type2","Two-Year")</f>
        <v>0</v>
      </c>
      <c r="AA47" s="201">
        <f>GETPIVOTDATA("Sum of New-Tot G SCH Calc",'Pivot Table for Fact Book'!$A$3,"State","AL","Type2","Two-Year")</f>
        <v>0</v>
      </c>
      <c r="AB47" s="197">
        <f>GETPIVOTDATA("Sum of Old-Tot G SCH Calc",'Pivot Table for Fact Book'!$A$3,"State","AL","type",12,"Type2","Technical")</f>
        <v>0</v>
      </c>
      <c r="AC47" s="200">
        <f>GETPIVOTDATA("Sum of New-Tot G SCH Calc",'Pivot Table for Fact Book'!$A$3,"State","AL","type",12,"Type2","Technical")</f>
        <v>0</v>
      </c>
      <c r="AD47" s="200">
        <f>GETPIVOTDATA("Sum of Old-Tot G SCH Calc",'Pivot Table for Fact Book'!$A$3,"State","AL","type",13,"Type2","Technical")</f>
        <v>0</v>
      </c>
      <c r="AE47" s="200">
        <f>GETPIVOTDATA("Sum of New-Tot G SCH Calc",'Pivot Table for Fact Book'!$A$3,"State","AL","type",13,"Type2","Technical")</f>
        <v>0</v>
      </c>
      <c r="AF47" s="203">
        <f>GETPIVOTDATA("Sum of Old-Tot G SCH Calc",'Pivot Table for Fact Book'!$A$3,"State","AL","Type2","Technical")</f>
        <v>0</v>
      </c>
      <c r="AG47" s="203">
        <f>GETPIVOTDATA("Sum of New-Tot G SCH Calc",'Pivot Table for Fact Book'!$A$3,"State","AL","Type2","Technical")</f>
        <v>0</v>
      </c>
      <c r="AH47" s="14"/>
    </row>
    <row r="48" spans="1:34">
      <c r="A48" s="196" t="s">
        <v>176</v>
      </c>
      <c r="B48" s="197">
        <f>GETPIVOTDATA("Sum of Old-Tot G SCH Calc",'Pivot Table for Fact Book'!$A$3,"State","AR","type",1,"Type2","Four-Year")</f>
        <v>72232</v>
      </c>
      <c r="C48" s="198">
        <f>GETPIVOTDATA("Sum of New-Tot G SCH Calc",'Pivot Table for Fact Book'!$A$3,"State","AR","type",1,"Type2","Four-Year")</f>
        <v>75584</v>
      </c>
      <c r="D48" s="197">
        <f>GETPIVOTDATA("Sum of Old-Tot G SCH Calc",'Pivot Table for Fact Book'!$A$3,"State","AR","type",2,"Type2","Four-Year")</f>
        <v>0</v>
      </c>
      <c r="E48" s="198">
        <f>GETPIVOTDATA("Sum of New-Tot G SCH Calc",'Pivot Table for Fact Book'!$A$3,"State","AR","type",2,"Type2","Four-Year")</f>
        <v>0</v>
      </c>
      <c r="F48" s="197">
        <f>GETPIVOTDATA("Sum of Old-Tot G SCH Calc",'Pivot Table for Fact Book'!$A$3,"State","AR","type",3,"Type2","Four-Year")</f>
        <v>127114</v>
      </c>
      <c r="G48" s="198">
        <f>GETPIVOTDATA("Sum of New-Tot G SCH Calc",'Pivot Table for Fact Book'!$A$3,"State","AR","type",3,"Type2","Four-Year")</f>
        <v>153797</v>
      </c>
      <c r="H48" s="197">
        <f>GETPIVOTDATA("Sum of Old-Tot G SCH Calc",'Pivot Table for Fact Book'!$A$3,"State","AR","type",4,"Type2","Four-Year")</f>
        <v>20858</v>
      </c>
      <c r="I48" s="198">
        <f>GETPIVOTDATA("Sum of New-Tot G SCH Calc",'Pivot Table for Fact Book'!$A$3,"State","AR","type",4,"Type2","Four-Year")</f>
        <v>20332</v>
      </c>
      <c r="J48" s="197">
        <f>GETPIVOTDATA("Sum of Old-Tot G SCH Calc",'Pivot Table for Fact Book'!$A$3,"State","AR","type",5,"Type2","Four-Year")</f>
        <v>10277</v>
      </c>
      <c r="K48" s="198">
        <f>GETPIVOTDATA("Sum of New-Tot G SCH Calc",'Pivot Table for Fact Book'!$A$3,"State","AR","type",5,"Type2","Four-Year")</f>
        <v>10629</v>
      </c>
      <c r="L48" s="197">
        <f>GETPIVOTDATA("Sum of Old-Tot G SCH Calc",'Pivot Table for Fact Book'!$A$3,"State","AR","type",6,"Type2","Four-Year")</f>
        <v>2217</v>
      </c>
      <c r="M48" s="198">
        <f>GETPIVOTDATA("Sum of New-Tot G SCH Calc",'Pivot Table for Fact Book'!$A$3,"State","AR","type",6,"Type2","Four-Year")</f>
        <v>2132</v>
      </c>
      <c r="N48" s="197">
        <f>GETPIVOTDATA("Sum of Old-Tot G SCH Calc",'Pivot Table for Fact Book'!$A$3,"State","AR","type",15,"Type2","Four-Year")</f>
        <v>0</v>
      </c>
      <c r="O48" s="198">
        <f>GETPIVOTDATA("Sum of New-Tot G SCH Calc",'Pivot Table for Fact Book'!$A$3,"State","AR","type",15,"Type2","Four-Year")</f>
        <v>0</v>
      </c>
      <c r="P48" s="199">
        <f>GETPIVOTDATA("Sum of Old-Tot G SCH Calc",'Pivot Table for Fact Book'!$A$3,"State","AR","Type2","Four-Year")</f>
        <v>232698</v>
      </c>
      <c r="Q48" s="199">
        <f>GETPIVOTDATA("Sum of New-Tot G SCH Calc",'Pivot Table for Fact Book'!$A$3,"State","AR","Type2","Four-Year")</f>
        <v>262474</v>
      </c>
      <c r="R48" s="197">
        <f>GETPIVOTDATA("Sum of Old-Tot G SCH Calc",'Pivot Table for Fact Book'!$A$3,"State","AR","type",7,"Type2","Two-Year")</f>
        <v>0</v>
      </c>
      <c r="S48" s="200">
        <f>GETPIVOTDATA("Sum of New-Tot G SCH Calc",'Pivot Table for Fact Book'!$A$3,"State","AR","type",7,"Type2","Two-Year")</f>
        <v>0</v>
      </c>
      <c r="T48" s="200">
        <f>GETPIVOTDATA("Sum of Old-Tot G SCH Calc",'Pivot Table for Fact Book'!$A$3,"State","AR","type",8,"Type2","Two-Year")</f>
        <v>0</v>
      </c>
      <c r="U48" s="200">
        <f>GETPIVOTDATA("Sum of New-Tot G SCH Calc",'Pivot Table for Fact Book'!$A$3,"State","AR","type",8,"Type2","Two-Year")</f>
        <v>0</v>
      </c>
      <c r="V48" s="200">
        <f>GETPIVOTDATA("Sum of Old-Tot G SCH Calc",'Pivot Table for Fact Book'!$A$3,"State","AR","type",9,"Type2","Two-Year")</f>
        <v>0</v>
      </c>
      <c r="W48" s="200">
        <f>GETPIVOTDATA("Sum of New-Tot G SCH Calc",'Pivot Table for Fact Book'!$A$3,"State","AR","type",9,"Type2","Two-Year")</f>
        <v>0</v>
      </c>
      <c r="X48" s="200">
        <f>GETPIVOTDATA("Sum of Old-Tot G SCH Calc",'Pivot Table for Fact Book'!$A$3,"State","AR","type",10,"Type2","Two-Year")</f>
        <v>0</v>
      </c>
      <c r="Y48" s="200">
        <f>GETPIVOTDATA("Sum of New-Tot G SCH Calc",'Pivot Table for Fact Book'!$A$3,"State","AR","type",10,"Type2","Two-Year")</f>
        <v>0</v>
      </c>
      <c r="Z48" s="201">
        <f>GETPIVOTDATA("Sum of Old-Tot G SCH Calc",'Pivot Table for Fact Book'!$A$3,"State","AR","Type2","Two-Year")</f>
        <v>0</v>
      </c>
      <c r="AA48" s="201">
        <f>GETPIVOTDATA("Sum of New-Tot G SCH Calc",'Pivot Table for Fact Book'!$A$3,"State","AR","Type2","Two-Year")</f>
        <v>0</v>
      </c>
      <c r="AB48" s="197">
        <f>GETPIVOTDATA("Sum of Old-Tot G SCH Calc",'Pivot Table for Fact Book'!$A$3,"State","AR","type",12,"Type2","Technical")</f>
        <v>0</v>
      </c>
      <c r="AC48" s="200">
        <f>GETPIVOTDATA("Sum of New-Tot G SCH Calc",'Pivot Table for Fact Book'!$A$3,"State","AR","type",12,"Type2","Technical")</f>
        <v>0</v>
      </c>
      <c r="AD48" s="200">
        <f>GETPIVOTDATA("Sum of Old-Tot G SCH Calc",'Pivot Table for Fact Book'!$A$3,"State","AR","type",13,"Type2","Technical")</f>
        <v>0</v>
      </c>
      <c r="AE48" s="200">
        <f>GETPIVOTDATA("Sum of New-Tot G SCH Calc",'Pivot Table for Fact Book'!$A$3,"State","AR","type",13,"Type2","Technical")</f>
        <v>0</v>
      </c>
      <c r="AF48" s="203">
        <f>GETPIVOTDATA("Sum of Old-Tot G SCH Calc",'Pivot Table for Fact Book'!$A$3,"State","AR","Type2","Technical")</f>
        <v>0</v>
      </c>
      <c r="AG48" s="203">
        <f>GETPIVOTDATA("Sum of New-Tot G SCH Calc",'Pivot Table for Fact Book'!$A$3,"State","AR","Type2","Technical")</f>
        <v>0</v>
      </c>
      <c r="AH48" s="14"/>
    </row>
    <row r="49" spans="1:34">
      <c r="A49" s="196" t="s">
        <v>177</v>
      </c>
      <c r="B49" s="197">
        <f>GETPIVOTDATA("Sum of Old-Tot G SCH Calc",'Pivot Table for Fact Book'!$A$3,"State","DE","type",1,"Type2","Four-Year")</f>
        <v>0</v>
      </c>
      <c r="C49" s="198">
        <f>GETPIVOTDATA("Sum of New-Tot G SCH Calc",'Pivot Table for Fact Book'!$A$3,"State","DE","type",1,"Type2","Four-Year")</f>
        <v>0</v>
      </c>
      <c r="D49" s="197">
        <f>GETPIVOTDATA("Sum of Old-Tot G SCH Calc",'Pivot Table for Fact Book'!$A$3,"State","DE","type",2,"Type2","Four-Year")</f>
        <v>0</v>
      </c>
      <c r="E49" s="198">
        <f>GETPIVOTDATA("Sum of New-Tot G SCH Calc",'Pivot Table for Fact Book'!$A$3,"State","DE","type",2,"Type2","Four-Year")</f>
        <v>0</v>
      </c>
      <c r="F49" s="197">
        <f>GETPIVOTDATA("Sum of Old-Tot G SCH Calc",'Pivot Table for Fact Book'!$A$3,"State","DE","type",3,"Type2","Four-Year")</f>
        <v>0</v>
      </c>
      <c r="G49" s="198">
        <f>GETPIVOTDATA("Sum of New-Tot G SCH Calc",'Pivot Table for Fact Book'!$A$3,"State","DE","type",3,"Type2","Four-Year")</f>
        <v>0</v>
      </c>
      <c r="H49" s="197">
        <f>GETPIVOTDATA("Sum of Old-Tot G SCH Calc",'Pivot Table for Fact Book'!$A$3,"State","DE","type",4,"Type2","Four-Year")</f>
        <v>0</v>
      </c>
      <c r="I49" s="198">
        <f>GETPIVOTDATA("Sum of New-Tot G SCH Calc",'Pivot Table for Fact Book'!$A$3,"State","DE","type",4,"Type2","Four-Year")</f>
        <v>0</v>
      </c>
      <c r="J49" s="197">
        <f>GETPIVOTDATA("Sum of Old-Tot G SCH Calc",'Pivot Table for Fact Book'!$A$3,"State","DE","type",5,"Type2","Four-Year")</f>
        <v>0</v>
      </c>
      <c r="K49" s="198">
        <f>GETPIVOTDATA("Sum of New-Tot G SCH Calc",'Pivot Table for Fact Book'!$A$3,"State","DE","type",5,"Type2","Four-Year")</f>
        <v>0</v>
      </c>
      <c r="L49" s="197">
        <f>GETPIVOTDATA("Sum of Old-Tot G SCH Calc",'Pivot Table for Fact Book'!$A$3,"State","DE","type",6,"Type2","Four-Year")</f>
        <v>0</v>
      </c>
      <c r="M49" s="198">
        <f>GETPIVOTDATA("Sum of New-Tot G SCH Calc",'Pivot Table for Fact Book'!$A$3,"State","DE","type",6,"Type2","Four-Year")</f>
        <v>0</v>
      </c>
      <c r="N49" s="197">
        <f>GETPIVOTDATA("Sum of Old-Tot G SCH Calc",'Pivot Table for Fact Book'!$A$3,"State","DE","type",15,"Type2","Four-Year")</f>
        <v>0</v>
      </c>
      <c r="O49" s="198">
        <f>GETPIVOTDATA("Sum of New-Tot G SCH Calc",'Pivot Table for Fact Book'!$A$3,"State","DE","type",15,"Type2","Four-Year")</f>
        <v>0</v>
      </c>
      <c r="P49" s="199">
        <f>GETPIVOTDATA("Sum of Old-Tot G SCH Calc",'Pivot Table for Fact Book'!$A$3,"State","DE","Type2","Four-Year")</f>
        <v>0</v>
      </c>
      <c r="Q49" s="199">
        <f>GETPIVOTDATA("Sum of New-Tot G SCH Calc",'Pivot Table for Fact Book'!$A$3,"State","DE","Type2","Four-Year")</f>
        <v>0</v>
      </c>
      <c r="R49" s="197">
        <f>GETPIVOTDATA("Sum of Old-Tot G SCH Calc",'Pivot Table for Fact Book'!$A$3,"State","DE","type",7,"Type2","Two-Year")</f>
        <v>0</v>
      </c>
      <c r="S49" s="200">
        <f>GETPIVOTDATA("Sum of New-Tot G SCH Calc",'Pivot Table for Fact Book'!$A$3,"State","DE","type",7,"Type2","Two-Year")</f>
        <v>0</v>
      </c>
      <c r="T49" s="200">
        <f>GETPIVOTDATA("Sum of Old-Tot G SCH Calc",'Pivot Table for Fact Book'!$A$3,"State","DE","type",8,"Type2","Two-Year")</f>
        <v>0</v>
      </c>
      <c r="U49" s="200">
        <f>GETPIVOTDATA("Sum of New-Tot G SCH Calc",'Pivot Table for Fact Book'!$A$3,"State","DE","type",8,"Type2","Two-Year")</f>
        <v>0</v>
      </c>
      <c r="V49" s="200">
        <f>GETPIVOTDATA("Sum of Old-Tot G SCH Calc",'Pivot Table for Fact Book'!$A$3,"State","DE","type",9,"Type2","Two-Year")</f>
        <v>0</v>
      </c>
      <c r="W49" s="200">
        <f>GETPIVOTDATA("Sum of New-Tot G SCH Calc",'Pivot Table for Fact Book'!$A$3,"State","DE","type",9,"Type2","Two-Year")</f>
        <v>0</v>
      </c>
      <c r="X49" s="200">
        <f>GETPIVOTDATA("Sum of Old-Tot G SCH Calc",'Pivot Table for Fact Book'!$A$3,"State","DE","type",10,"Type2","Two-Year")</f>
        <v>0</v>
      </c>
      <c r="Y49" s="200">
        <f>GETPIVOTDATA("Sum of New-Tot G SCH Calc",'Pivot Table for Fact Book'!$A$3,"State","DE","type",10,"Type2","Two-Year")</f>
        <v>0</v>
      </c>
      <c r="Z49" s="201">
        <f>GETPIVOTDATA("Sum of Old-Tot G SCH Calc",'Pivot Table for Fact Book'!$A$3,"State","DE","Type2","Two-Year")</f>
        <v>0</v>
      </c>
      <c r="AA49" s="201">
        <f>GETPIVOTDATA("Sum of New-Tot G SCH Calc",'Pivot Table for Fact Book'!$A$3,"State","DE","Type2","Two-Year")</f>
        <v>0</v>
      </c>
      <c r="AB49" s="197">
        <f>GETPIVOTDATA("Sum of Old-Tot G SCH Calc",'Pivot Table for Fact Book'!$A$3,"State","DE","type",12,"Type2","Technical")</f>
        <v>0</v>
      </c>
      <c r="AC49" s="200">
        <f>GETPIVOTDATA("Sum of New-Tot G SCH Calc",'Pivot Table for Fact Book'!$A$3,"State","DE","type",12,"Type2","Technical")</f>
        <v>0</v>
      </c>
      <c r="AD49" s="200">
        <f>GETPIVOTDATA("Sum of Old-Tot G SCH Calc",'Pivot Table for Fact Book'!$A$3,"State","DE","type",13,"Type2","Technical")</f>
        <v>0</v>
      </c>
      <c r="AE49" s="200">
        <f>GETPIVOTDATA("Sum of New-Tot G SCH Calc",'Pivot Table for Fact Book'!$A$3,"State","DE","type",13,"Type2","Technical")</f>
        <v>0</v>
      </c>
      <c r="AF49" s="203">
        <f>GETPIVOTDATA("Sum of Old-Tot G SCH Calc",'Pivot Table for Fact Book'!$A$3,"State","DE","Type2","Technical")</f>
        <v>0</v>
      </c>
      <c r="AG49" s="203">
        <f>GETPIVOTDATA("Sum of New-Tot G SCH Calc",'Pivot Table for Fact Book'!$A$3,"State","DE","Type2","Technical")</f>
        <v>0</v>
      </c>
      <c r="AH49" s="14"/>
    </row>
    <row r="50" spans="1:34">
      <c r="A50" s="196" t="s">
        <v>178</v>
      </c>
      <c r="B50" s="197">
        <f>GETPIVOTDATA("Sum of Old-Tot G SCH Calc",'Pivot Table for Fact Book'!$A$3,"State","FL","type",1,"Type2","Four-Year")</f>
        <v>1013960.3</v>
      </c>
      <c r="C50" s="198">
        <f>GETPIVOTDATA("Sum of New-Tot G SCH Calc",'Pivot Table for Fact Book'!$A$3,"State","FL","type",1,"Type2","Four-Year")</f>
        <v>1045371</v>
      </c>
      <c r="D50" s="197">
        <f>GETPIVOTDATA("Sum of Old-Tot G SCH Calc",'Pivot Table for Fact Book'!$A$3,"State","FL","type",2,"Type2","Four-Year")</f>
        <v>78594</v>
      </c>
      <c r="E50" s="198">
        <f>GETPIVOTDATA("Sum of New-Tot G SCH Calc",'Pivot Table for Fact Book'!$A$3,"State","FL","type",2,"Type2","Four-Year")</f>
        <v>80819</v>
      </c>
      <c r="F50" s="197">
        <f>GETPIVOTDATA("Sum of Old-Tot G SCH Calc",'Pivot Table for Fact Book'!$A$3,"State","FL","type",3,"Type2","Four-Year")</f>
        <v>111856</v>
      </c>
      <c r="G50" s="198">
        <f>GETPIVOTDATA("Sum of New-Tot G SCH Calc",'Pivot Table for Fact Book'!$A$3,"State","FL","type",3,"Type2","Four-Year")</f>
        <v>114242</v>
      </c>
      <c r="H50" s="197">
        <f>GETPIVOTDATA("Sum of Old-Tot G SCH Calc",'Pivot Table for Fact Book'!$A$3,"State","FL","type",4,"Type2","Four-Year")</f>
        <v>21548</v>
      </c>
      <c r="I50" s="198">
        <f>GETPIVOTDATA("Sum of New-Tot G SCH Calc",'Pivot Table for Fact Book'!$A$3,"State","FL","type",4,"Type2","Four-Year")</f>
        <v>24078</v>
      </c>
      <c r="J50" s="197">
        <f>GETPIVOTDATA("Sum of Old-Tot G SCH Calc",'Pivot Table for Fact Book'!$A$3,"State","FL","type",5,"Type2","Four-Year")</f>
        <v>0</v>
      </c>
      <c r="K50" s="198">
        <f>GETPIVOTDATA("Sum of New-Tot G SCH Calc",'Pivot Table for Fact Book'!$A$3,"State","FL","type",5,"Type2","Four-Year")</f>
        <v>0</v>
      </c>
      <c r="L50" s="197">
        <f>GETPIVOTDATA("Sum of Old-Tot G SCH Calc",'Pivot Table for Fact Book'!$A$3,"State","FL","type",6,"Type2","Four-Year")</f>
        <v>0</v>
      </c>
      <c r="M50" s="198">
        <f>GETPIVOTDATA("Sum of New-Tot G SCH Calc",'Pivot Table for Fact Book'!$A$3,"State","FL","type",6,"Type2","Four-Year")</f>
        <v>0</v>
      </c>
      <c r="N50" s="197">
        <f>GETPIVOTDATA("Sum of Old-Tot G SCH Calc",'Pivot Table for Fact Book'!$A$3,"State","FL","type",15,"Type2","Four-Year")</f>
        <v>0</v>
      </c>
      <c r="O50" s="198">
        <f>GETPIVOTDATA("Sum of New-Tot G SCH Calc",'Pivot Table for Fact Book'!$A$3,"State","FL","type",15,"Type2","Four-Year")</f>
        <v>0</v>
      </c>
      <c r="P50" s="199">
        <f>GETPIVOTDATA("Sum of Old-Tot G SCH Calc",'Pivot Table for Fact Book'!$A$3,"State","FL","Type2","Four-Year")</f>
        <v>1225958.3</v>
      </c>
      <c r="Q50" s="199">
        <f>GETPIVOTDATA("Sum of New-Tot G SCH Calc",'Pivot Table for Fact Book'!$A$3,"State","FL","Type2","Four-Year")</f>
        <v>1264510</v>
      </c>
      <c r="R50" s="197">
        <f>GETPIVOTDATA("Sum of Old-Tot G SCH Calc",'Pivot Table for Fact Book'!$A$3,"State","FL","type",7,"Type2","Two-Year")</f>
        <v>0</v>
      </c>
      <c r="S50" s="200">
        <f>GETPIVOTDATA("Sum of New-Tot G SCH Calc",'Pivot Table for Fact Book'!$A$3,"State","FL","type",7,"Type2","Two-Year")</f>
        <v>0</v>
      </c>
      <c r="T50" s="200">
        <f>GETPIVOTDATA("Sum of Old-Tot G SCH Calc",'Pivot Table for Fact Book'!$A$3,"State","FL","type",8,"Type2","Two-Year")</f>
        <v>0</v>
      </c>
      <c r="U50" s="200">
        <f>GETPIVOTDATA("Sum of New-Tot G SCH Calc",'Pivot Table for Fact Book'!$A$3,"State","FL","type",8,"Type2","Two-Year")</f>
        <v>0</v>
      </c>
      <c r="V50" s="200">
        <f>GETPIVOTDATA("Sum of Old-Tot G SCH Calc",'Pivot Table for Fact Book'!$A$3,"State","FL","type",9,"Type2","Two-Year")</f>
        <v>0</v>
      </c>
      <c r="W50" s="200">
        <f>GETPIVOTDATA("Sum of New-Tot G SCH Calc",'Pivot Table for Fact Book'!$A$3,"State","FL","type",9,"Type2","Two-Year")</f>
        <v>0</v>
      </c>
      <c r="X50" s="200">
        <f>GETPIVOTDATA("Sum of Old-Tot G SCH Calc",'Pivot Table for Fact Book'!$A$3,"State","FL","type",10,"Type2","Two-Year")</f>
        <v>0</v>
      </c>
      <c r="Y50" s="200">
        <f>GETPIVOTDATA("Sum of New-Tot G SCH Calc",'Pivot Table for Fact Book'!$A$3,"State","FL","type",10,"Type2","Two-Year")</f>
        <v>0</v>
      </c>
      <c r="Z50" s="201">
        <f>GETPIVOTDATA("Sum of Old-Tot G SCH Calc",'Pivot Table for Fact Book'!$A$3,"State","FL","Type2","Two-Year")</f>
        <v>0</v>
      </c>
      <c r="AA50" s="201">
        <f>GETPIVOTDATA("Sum of New-Tot G SCH Calc",'Pivot Table for Fact Book'!$A$3,"State","FL","Type2","Two-Year")</f>
        <v>0</v>
      </c>
      <c r="AB50" s="197">
        <f>GETPIVOTDATA("Sum of Old-Tot G SCH Calc",'Pivot Table for Fact Book'!$A$3,"State","FL","type",12,"Type2","Technical")</f>
        <v>0</v>
      </c>
      <c r="AC50" s="200">
        <f>GETPIVOTDATA("Sum of New-Tot G SCH Calc",'Pivot Table for Fact Book'!$A$3,"State","FL","type",12,"Type2","Technical")</f>
        <v>0</v>
      </c>
      <c r="AD50" s="200">
        <f>GETPIVOTDATA("Sum of Old-Tot G SCH Calc",'Pivot Table for Fact Book'!$A$3,"State","FL","type",13,"Type2","Technical")</f>
        <v>0</v>
      </c>
      <c r="AE50" s="200">
        <f>GETPIVOTDATA("Sum of New-Tot G SCH Calc",'Pivot Table for Fact Book'!$A$3,"State","FL","type",13,"Type2","Technical")</f>
        <v>0</v>
      </c>
      <c r="AF50" s="203">
        <f>GETPIVOTDATA("Sum of Old-Tot G SCH Calc",'Pivot Table for Fact Book'!$A$3,"State","FL","Type2","Technical")</f>
        <v>0</v>
      </c>
      <c r="AG50" s="203">
        <f>GETPIVOTDATA("Sum of New-Tot G SCH Calc",'Pivot Table for Fact Book'!$A$3,"State","FL","Type2","Technical")</f>
        <v>0</v>
      </c>
      <c r="AH50" s="14"/>
    </row>
    <row r="51" spans="1:34">
      <c r="A51" s="196" t="s">
        <v>179</v>
      </c>
      <c r="B51" s="197">
        <f>GETPIVOTDATA("Sum of Old-Tot G SCH Calc",'Pivot Table for Fact Book'!$A$3,"State","GA","type",1,"Type2","Four-Year")</f>
        <v>0</v>
      </c>
      <c r="C51" s="198">
        <f>GETPIVOTDATA("Sum of New-Tot G SCH Calc",'Pivot Table for Fact Book'!$A$3,"State","GA","type",1,"Type2","Four-Year")</f>
        <v>0</v>
      </c>
      <c r="D51" s="197">
        <f>GETPIVOTDATA("Sum of Old-Tot G SCH Calc",'Pivot Table for Fact Book'!$A$3,"State","GA","type",2,"Type2","Four-Year")</f>
        <v>0</v>
      </c>
      <c r="E51" s="198">
        <f>GETPIVOTDATA("Sum of New-Tot G SCH Calc",'Pivot Table for Fact Book'!$A$3,"State","GA","type",2,"Type2","Four-Year")</f>
        <v>0</v>
      </c>
      <c r="F51" s="197">
        <f>GETPIVOTDATA("Sum of Old-Tot G SCH Calc",'Pivot Table for Fact Book'!$A$3,"State","GA","type",3,"Type2","Four-Year")</f>
        <v>0</v>
      </c>
      <c r="G51" s="198">
        <f>GETPIVOTDATA("Sum of New-Tot G SCH Calc",'Pivot Table for Fact Book'!$A$3,"State","GA","type",3,"Type2","Four-Year")</f>
        <v>0</v>
      </c>
      <c r="H51" s="197">
        <f>GETPIVOTDATA("Sum of Old-Tot G SCH Calc",'Pivot Table for Fact Book'!$A$3,"State","GA","type",4,"Type2","Four-Year")</f>
        <v>0</v>
      </c>
      <c r="I51" s="198">
        <f>GETPIVOTDATA("Sum of New-Tot G SCH Calc",'Pivot Table for Fact Book'!$A$3,"State","GA","type",4,"Type2","Four-Year")</f>
        <v>0</v>
      </c>
      <c r="J51" s="197">
        <f>GETPIVOTDATA("Sum of Old-Tot G SCH Calc",'Pivot Table for Fact Book'!$A$3,"State","GA","type",5,"Type2","Four-Year")</f>
        <v>0</v>
      </c>
      <c r="K51" s="198">
        <f>GETPIVOTDATA("Sum of New-Tot G SCH Calc",'Pivot Table for Fact Book'!$A$3,"State","GA","type",5,"Type2","Four-Year")</f>
        <v>0</v>
      </c>
      <c r="L51" s="197">
        <f>GETPIVOTDATA("Sum of Old-Tot G SCH Calc",'Pivot Table for Fact Book'!$A$3,"State","GA","type",6,"Type2","Four-Year")</f>
        <v>0</v>
      </c>
      <c r="M51" s="198">
        <f>GETPIVOTDATA("Sum of New-Tot G SCH Calc",'Pivot Table for Fact Book'!$A$3,"State","GA","type",6,"Type2","Four-Year")</f>
        <v>0</v>
      </c>
      <c r="N51" s="197">
        <f>GETPIVOTDATA("Sum of Old-Tot G SCH Calc",'Pivot Table for Fact Book'!$A$3,"State","GA","type",15,"Type2","Four-Year")</f>
        <v>0</v>
      </c>
      <c r="O51" s="198">
        <f>GETPIVOTDATA("Sum of New-Tot G SCH Calc",'Pivot Table for Fact Book'!$A$3,"State","GA","type",15,"Type2","Four-Year")</f>
        <v>0</v>
      </c>
      <c r="P51" s="199">
        <f>GETPIVOTDATA("Sum of Old-Tot G SCH Calc",'Pivot Table for Fact Book'!$A$3,"State","GA","Type2","Four-Year")</f>
        <v>0</v>
      </c>
      <c r="Q51" s="199">
        <f>GETPIVOTDATA("Sum of New-Tot G SCH Calc",'Pivot Table for Fact Book'!$A$3,"State","GA","Type2","Four-Year")</f>
        <v>0</v>
      </c>
      <c r="R51" s="197">
        <f>GETPIVOTDATA("Sum of Old-Tot G SCH Calc",'Pivot Table for Fact Book'!$A$3,"State","GA","type",7,"Type2","Two-Year")</f>
        <v>0</v>
      </c>
      <c r="S51" s="200">
        <f>GETPIVOTDATA("Sum of New-Tot G SCH Calc",'Pivot Table for Fact Book'!$A$3,"State","GA","type",7,"Type2","Two-Year")</f>
        <v>0</v>
      </c>
      <c r="T51" s="200">
        <f>GETPIVOTDATA("Sum of Old-Tot G SCH Calc",'Pivot Table for Fact Book'!$A$3,"State","GA","type",8,"Type2","Two-Year")</f>
        <v>0</v>
      </c>
      <c r="U51" s="200">
        <f>GETPIVOTDATA("Sum of New-Tot G SCH Calc",'Pivot Table for Fact Book'!$A$3,"State","GA","type",8,"Type2","Two-Year")</f>
        <v>0</v>
      </c>
      <c r="V51" s="200">
        <f>GETPIVOTDATA("Sum of Old-Tot G SCH Calc",'Pivot Table for Fact Book'!$A$3,"State","GA","type",9,"Type2","Two-Year")</f>
        <v>0</v>
      </c>
      <c r="W51" s="200">
        <f>GETPIVOTDATA("Sum of New-Tot G SCH Calc",'Pivot Table for Fact Book'!$A$3,"State","GA","type",9,"Type2","Two-Year")</f>
        <v>0</v>
      </c>
      <c r="X51" s="200">
        <f>GETPIVOTDATA("Sum of Old-Tot G SCH Calc",'Pivot Table for Fact Book'!$A$3,"State","GA","type",10,"Type2","Two-Year")</f>
        <v>0</v>
      </c>
      <c r="Y51" s="200">
        <f>GETPIVOTDATA("Sum of New-Tot G SCH Calc",'Pivot Table for Fact Book'!$A$3,"State","GA","type",10,"Type2","Two-Year")</f>
        <v>0</v>
      </c>
      <c r="Z51" s="201">
        <f>GETPIVOTDATA("Sum of Old-Tot G SCH Calc",'Pivot Table for Fact Book'!$A$3,"State","GA","Type2","Two-Year")</f>
        <v>0</v>
      </c>
      <c r="AA51" s="201">
        <f>GETPIVOTDATA("Sum of New-Tot G SCH Calc",'Pivot Table for Fact Book'!$A$3,"State","GA","Type2","Two-Year")</f>
        <v>0</v>
      </c>
      <c r="AB51" s="197">
        <f>GETPIVOTDATA("Sum of Old-Tot G SCH Calc",'Pivot Table for Fact Book'!$A$3,"State","GA","type",12,"Type2","Technical")</f>
        <v>0</v>
      </c>
      <c r="AC51" s="200">
        <f>GETPIVOTDATA("Sum of New-Tot G SCH Calc",'Pivot Table for Fact Book'!$A$3,"State","GA","type",12,"Type2","Technical")</f>
        <v>0</v>
      </c>
      <c r="AD51" s="200">
        <f>GETPIVOTDATA("Sum of Old-Tot G SCH Calc",'Pivot Table for Fact Book'!$A$3,"State","GA","type",13,"Type2","Technical")</f>
        <v>0</v>
      </c>
      <c r="AE51" s="200">
        <f>GETPIVOTDATA("Sum of New-Tot G SCH Calc",'Pivot Table for Fact Book'!$A$3,"State","GA","type",13,"Type2","Technical")</f>
        <v>0</v>
      </c>
      <c r="AF51" s="203">
        <f>GETPIVOTDATA("Sum of Old-Tot G SCH Calc",'Pivot Table for Fact Book'!$A$3,"State","GA","Type2","Technical")</f>
        <v>0</v>
      </c>
      <c r="AG51" s="203">
        <f>GETPIVOTDATA("Sum of New-Tot G SCH Calc",'Pivot Table for Fact Book'!$A$3,"State","GA","Type2","Technical")</f>
        <v>0</v>
      </c>
      <c r="AH51" s="14"/>
    </row>
    <row r="52" spans="1:34">
      <c r="A52" s="196" t="s">
        <v>180</v>
      </c>
      <c r="B52" s="197">
        <f>GETPIVOTDATA("Sum of Old-Tot G SCH Calc",'Pivot Table for Fact Book'!$A$3,"State","KY","type",1,"Type2","Four-Year")</f>
        <v>154716</v>
      </c>
      <c r="C52" s="198">
        <f>GETPIVOTDATA("Sum of New-Tot G SCH Calc",'Pivot Table for Fact Book'!$A$3,"State","KY","type",1,"Type2","Four-Year")</f>
        <v>158576</v>
      </c>
      <c r="D52" s="197">
        <f>GETPIVOTDATA("Sum of Old-Tot G SCH Calc",'Pivot Table for Fact Book'!$A$3,"State","KY","type",2,"Type2","Four-Year")</f>
        <v>0</v>
      </c>
      <c r="E52" s="198">
        <f>GETPIVOTDATA("Sum of New-Tot G SCH Calc",'Pivot Table for Fact Book'!$A$3,"State","KY","type",2,"Type2","Four-Year")</f>
        <v>0</v>
      </c>
      <c r="F52" s="197">
        <f>GETPIVOTDATA("Sum of Old-Tot G SCH Calc",'Pivot Table for Fact Book'!$A$3,"State","KY","type",3,"Type2","Four-Year")</f>
        <v>120085</v>
      </c>
      <c r="G52" s="198">
        <f>GETPIVOTDATA("Sum of New-Tot G SCH Calc",'Pivot Table for Fact Book'!$A$3,"State","KY","type",3,"Type2","Four-Year")</f>
        <v>127279</v>
      </c>
      <c r="H52" s="197">
        <f>GETPIVOTDATA("Sum of Old-Tot G SCH Calc",'Pivot Table for Fact Book'!$A$3,"State","KY","type",4,"Type2","Four-Year")</f>
        <v>38596</v>
      </c>
      <c r="I52" s="198">
        <f>GETPIVOTDATA("Sum of New-Tot G SCH Calc",'Pivot Table for Fact Book'!$A$3,"State","KY","type",4,"Type2","Four-Year")</f>
        <v>41099</v>
      </c>
      <c r="J52" s="197">
        <f>GETPIVOTDATA("Sum of Old-Tot G SCH Calc",'Pivot Table for Fact Book'!$A$3,"State","KY","type",5,"Type2","Four-Year")</f>
        <v>0</v>
      </c>
      <c r="K52" s="198">
        <f>GETPIVOTDATA("Sum of New-Tot G SCH Calc",'Pivot Table for Fact Book'!$A$3,"State","KY","type",5,"Type2","Four-Year")</f>
        <v>0</v>
      </c>
      <c r="L52" s="197">
        <f>GETPIVOTDATA("Sum of Old-Tot G SCH Calc",'Pivot Table for Fact Book'!$A$3,"State","KY","type",6,"Type2","Four-Year")</f>
        <v>0</v>
      </c>
      <c r="M52" s="198">
        <f>GETPIVOTDATA("Sum of New-Tot G SCH Calc",'Pivot Table for Fact Book'!$A$3,"State","KY","type",6,"Type2","Four-Year")</f>
        <v>0</v>
      </c>
      <c r="N52" s="197">
        <f>GETPIVOTDATA("Sum of Old-Tot G SCH Calc",'Pivot Table for Fact Book'!$A$3,"State","KY","type",15,"Type2","Four-Year")</f>
        <v>0</v>
      </c>
      <c r="O52" s="198">
        <f>GETPIVOTDATA("Sum of New-Tot G SCH Calc",'Pivot Table for Fact Book'!$A$3,"State","KY","type",15,"Type2","Four-Year")</f>
        <v>0</v>
      </c>
      <c r="P52" s="199">
        <f>GETPIVOTDATA("Sum of Old-Tot G SCH Calc",'Pivot Table for Fact Book'!$A$3,"State","KY","Type2","Four-Year")</f>
        <v>313397</v>
      </c>
      <c r="Q52" s="199">
        <f>GETPIVOTDATA("Sum of New-Tot G SCH Calc",'Pivot Table for Fact Book'!$A$3,"State","KY","Type2","Four-Year")</f>
        <v>326954</v>
      </c>
      <c r="R52" s="197">
        <f>GETPIVOTDATA("Sum of Old-Tot G SCH Calc",'Pivot Table for Fact Book'!$A$3,"State","KY","type",7,"Type2","Two-Year")</f>
        <v>0</v>
      </c>
      <c r="S52" s="200">
        <f>GETPIVOTDATA("Sum of New-Tot G SCH Calc",'Pivot Table for Fact Book'!$A$3,"State","KY","type",7,"Type2","Two-Year")</f>
        <v>0</v>
      </c>
      <c r="T52" s="200">
        <f>GETPIVOTDATA("Sum of Old-Tot G SCH Calc",'Pivot Table for Fact Book'!$A$3,"State","KY","type",8,"Type2","Two-Year")</f>
        <v>0</v>
      </c>
      <c r="U52" s="200">
        <f>GETPIVOTDATA("Sum of New-Tot G SCH Calc",'Pivot Table for Fact Book'!$A$3,"State","KY","type",8,"Type2","Two-Year")</f>
        <v>0</v>
      </c>
      <c r="V52" s="200">
        <f>GETPIVOTDATA("Sum of Old-Tot G SCH Calc",'Pivot Table for Fact Book'!$A$3,"State","KY","type",9,"Type2","Two-Year")</f>
        <v>0</v>
      </c>
      <c r="W52" s="200">
        <f>GETPIVOTDATA("Sum of New-Tot G SCH Calc",'Pivot Table for Fact Book'!$A$3,"State","KY","type",9,"Type2","Two-Year")</f>
        <v>0</v>
      </c>
      <c r="X52" s="200">
        <f>GETPIVOTDATA("Sum of Old-Tot G SCH Calc",'Pivot Table for Fact Book'!$A$3,"State","KY","type",10,"Type2","Two-Year")</f>
        <v>0</v>
      </c>
      <c r="Y52" s="200">
        <f>GETPIVOTDATA("Sum of New-Tot G SCH Calc",'Pivot Table for Fact Book'!$A$3,"State","KY","type",10,"Type2","Two-Year")</f>
        <v>0</v>
      </c>
      <c r="Z52" s="201">
        <f>GETPIVOTDATA("Sum of Old-Tot G SCH Calc",'Pivot Table for Fact Book'!$A$3,"State","KY","Type2","Two-Year")</f>
        <v>0</v>
      </c>
      <c r="AA52" s="201">
        <f>GETPIVOTDATA("Sum of New-Tot G SCH Calc",'Pivot Table for Fact Book'!$A$3,"State","KY","Type2","Two-Year")</f>
        <v>0</v>
      </c>
      <c r="AB52" s="197">
        <f>GETPIVOTDATA("Sum of Old-Tot G SCH Calc",'Pivot Table for Fact Book'!$A$3,"State","KY","type",12,"Type2","Technical")</f>
        <v>0</v>
      </c>
      <c r="AC52" s="200">
        <f>GETPIVOTDATA("Sum of New-Tot G SCH Calc",'Pivot Table for Fact Book'!$A$3,"State","KY","type",12,"Type2","Technical")</f>
        <v>0</v>
      </c>
      <c r="AD52" s="200">
        <f>GETPIVOTDATA("Sum of Old-Tot G SCH Calc",'Pivot Table for Fact Book'!$A$3,"State","KY","type",13,"Type2","Technical")</f>
        <v>0</v>
      </c>
      <c r="AE52" s="200">
        <f>GETPIVOTDATA("Sum of New-Tot G SCH Calc",'Pivot Table for Fact Book'!$A$3,"State","KY","type",13,"Type2","Technical")</f>
        <v>0</v>
      </c>
      <c r="AF52" s="203">
        <f>GETPIVOTDATA("Sum of Old-Tot G SCH Calc",'Pivot Table for Fact Book'!$A$3,"State","KY","Type2","Technical")</f>
        <v>0</v>
      </c>
      <c r="AG52" s="203">
        <f>GETPIVOTDATA("Sum of New-Tot G SCH Calc",'Pivot Table for Fact Book'!$A$3,"State","KY","Type2","Technical")</f>
        <v>0</v>
      </c>
      <c r="AH52" s="14"/>
    </row>
    <row r="53" spans="1:34">
      <c r="A53" s="196" t="s">
        <v>181</v>
      </c>
      <c r="B53" s="197">
        <f>GETPIVOTDATA("Sum of Old-Tot G SCH Calc",'Pivot Table for Fact Book'!$A$3,"State","LA","type",1,"Type2","Four-Year")</f>
        <v>0</v>
      </c>
      <c r="C53" s="198">
        <f>GETPIVOTDATA("Sum of New-Tot G SCH Calc",'Pivot Table for Fact Book'!$A$3,"State","LA","type",1,"Type2","Four-Year")</f>
        <v>0</v>
      </c>
      <c r="D53" s="197">
        <f>GETPIVOTDATA("Sum of Old-Tot G SCH Calc",'Pivot Table for Fact Book'!$A$3,"State","LA","type",2,"Type2","Four-Year")</f>
        <v>0</v>
      </c>
      <c r="E53" s="198">
        <f>GETPIVOTDATA("Sum of New-Tot G SCH Calc",'Pivot Table for Fact Book'!$A$3,"State","LA","type",2,"Type2","Four-Year")</f>
        <v>0</v>
      </c>
      <c r="F53" s="197">
        <f>GETPIVOTDATA("Sum of Old-Tot G SCH Calc",'Pivot Table for Fact Book'!$A$3,"State","LA","type",3,"Type2","Four-Year")</f>
        <v>0</v>
      </c>
      <c r="G53" s="198">
        <f>GETPIVOTDATA("Sum of New-Tot G SCH Calc",'Pivot Table for Fact Book'!$A$3,"State","LA","type",3,"Type2","Four-Year")</f>
        <v>0</v>
      </c>
      <c r="H53" s="197">
        <f>GETPIVOTDATA("Sum of Old-Tot G SCH Calc",'Pivot Table for Fact Book'!$A$3,"State","LA","type",4,"Type2","Four-Year")</f>
        <v>0</v>
      </c>
      <c r="I53" s="198">
        <f>GETPIVOTDATA("Sum of New-Tot G SCH Calc",'Pivot Table for Fact Book'!$A$3,"State","LA","type",4,"Type2","Four-Year")</f>
        <v>0</v>
      </c>
      <c r="J53" s="197">
        <f>GETPIVOTDATA("Sum of Old-Tot G SCH Calc",'Pivot Table for Fact Book'!$A$3,"State","LA","type",5,"Type2","Four-Year")</f>
        <v>0</v>
      </c>
      <c r="K53" s="198">
        <f>GETPIVOTDATA("Sum of New-Tot G SCH Calc",'Pivot Table for Fact Book'!$A$3,"State","LA","type",5,"Type2","Four-Year")</f>
        <v>0</v>
      </c>
      <c r="L53" s="197">
        <f>GETPIVOTDATA("Sum of Old-Tot G SCH Calc",'Pivot Table for Fact Book'!$A$3,"State","LA","type",6,"Type2","Four-Year")</f>
        <v>0</v>
      </c>
      <c r="M53" s="198">
        <f>GETPIVOTDATA("Sum of New-Tot G SCH Calc",'Pivot Table for Fact Book'!$A$3,"State","LA","type",6,"Type2","Four-Year")</f>
        <v>0</v>
      </c>
      <c r="N53" s="197">
        <f>GETPIVOTDATA("Sum of Old-Tot G SCH Calc",'Pivot Table for Fact Book'!$A$3,"State","LA","type",15,"Type2","Four-Year")</f>
        <v>0</v>
      </c>
      <c r="O53" s="198">
        <f>GETPIVOTDATA("Sum of New-Tot G SCH Calc",'Pivot Table for Fact Book'!$A$3,"State","LA","type",15,"Type2","Four-Year")</f>
        <v>0</v>
      </c>
      <c r="P53" s="199">
        <f>GETPIVOTDATA("Sum of Old-Tot G SCH Calc",'Pivot Table for Fact Book'!$A$3,"State","LA","Type2","Four-Year")</f>
        <v>0</v>
      </c>
      <c r="Q53" s="199">
        <f>GETPIVOTDATA("Sum of New-Tot G SCH Calc",'Pivot Table for Fact Book'!$A$3,"State","LA","Type2","Four-Year")</f>
        <v>0</v>
      </c>
      <c r="R53" s="197">
        <f>GETPIVOTDATA("Sum of Old-Tot G SCH Calc",'Pivot Table for Fact Book'!$A$3,"State","LA","type",7,"Type2","Two-Year")</f>
        <v>0</v>
      </c>
      <c r="S53" s="200">
        <f>GETPIVOTDATA("Sum of New-Tot G SCH Calc",'Pivot Table for Fact Book'!$A$3,"State","LA","type",7,"Type2","Two-Year")</f>
        <v>0</v>
      </c>
      <c r="T53" s="200">
        <f>GETPIVOTDATA("Sum of Old-Tot G SCH Calc",'Pivot Table for Fact Book'!$A$3,"State","LA","type",8,"Type2","Two-Year")</f>
        <v>0</v>
      </c>
      <c r="U53" s="200">
        <f>GETPIVOTDATA("Sum of New-Tot G SCH Calc",'Pivot Table for Fact Book'!$A$3,"State","LA","type",8,"Type2","Two-Year")</f>
        <v>0</v>
      </c>
      <c r="V53" s="200">
        <f>GETPIVOTDATA("Sum of Old-Tot G SCH Calc",'Pivot Table for Fact Book'!$A$3,"State","LA","type",9,"Type2","Two-Year")</f>
        <v>0</v>
      </c>
      <c r="W53" s="200">
        <f>GETPIVOTDATA("Sum of New-Tot G SCH Calc",'Pivot Table for Fact Book'!$A$3,"State","LA","type",9,"Type2","Two-Year")</f>
        <v>0</v>
      </c>
      <c r="X53" s="200">
        <f>GETPIVOTDATA("Sum of Old-Tot G SCH Calc",'Pivot Table for Fact Book'!$A$3,"State","LA","type",10,"Type2","Two-Year")</f>
        <v>0</v>
      </c>
      <c r="Y53" s="200">
        <f>GETPIVOTDATA("Sum of New-Tot G SCH Calc",'Pivot Table for Fact Book'!$A$3,"State","LA","type",10,"Type2","Two-Year")</f>
        <v>0</v>
      </c>
      <c r="Z53" s="201">
        <f>GETPIVOTDATA("Sum of Old-Tot G SCH Calc",'Pivot Table for Fact Book'!$A$3,"State","LA","Type2","Two-Year")</f>
        <v>0</v>
      </c>
      <c r="AA53" s="201">
        <f>GETPIVOTDATA("Sum of New-Tot G SCH Calc",'Pivot Table for Fact Book'!$A$3,"State","LA","Type2","Two-Year")</f>
        <v>0</v>
      </c>
      <c r="AB53" s="197">
        <f>GETPIVOTDATA("Sum of Old-Tot G SCH Calc",'Pivot Table for Fact Book'!$A$3,"State","LA","type",12,"Type2","Technical")</f>
        <v>0</v>
      </c>
      <c r="AC53" s="200">
        <f>GETPIVOTDATA("Sum of New-Tot G SCH Calc",'Pivot Table for Fact Book'!$A$3,"State","LA","type",12,"Type2","Technical")</f>
        <v>0</v>
      </c>
      <c r="AD53" s="200">
        <f>GETPIVOTDATA("Sum of Old-Tot G SCH Calc",'Pivot Table for Fact Book'!$A$3,"State","LA","type",13,"Type2","Technical")</f>
        <v>0</v>
      </c>
      <c r="AE53" s="200">
        <f>GETPIVOTDATA("Sum of New-Tot G SCH Calc",'Pivot Table for Fact Book'!$A$3,"State","LA","type",13,"Type2","Technical")</f>
        <v>0</v>
      </c>
      <c r="AF53" s="203">
        <f>GETPIVOTDATA("Sum of Old-Tot G SCH Calc",'Pivot Table for Fact Book'!$A$3,"State","LA","Type2","Technical")</f>
        <v>0</v>
      </c>
      <c r="AG53" s="203">
        <f>GETPIVOTDATA("Sum of New-Tot G SCH Calc",'Pivot Table for Fact Book'!$A$3,"State","LA","Type2","Technical")</f>
        <v>0</v>
      </c>
      <c r="AH53" s="14"/>
    </row>
    <row r="54" spans="1:34">
      <c r="A54" s="196" t="s">
        <v>222</v>
      </c>
      <c r="B54" s="197">
        <f>GETPIVOTDATA("Sum of Old-Tot G SCH Calc",'Pivot Table for Fact Book'!$A$3,"State","MD","type",1,"Type2","Four-Year")</f>
        <v>154875</v>
      </c>
      <c r="C54" s="198">
        <f>GETPIVOTDATA("Sum of New-Tot G SCH Calc",'Pivot Table for Fact Book'!$A$3,"State","MD","type",1,"Type2","Four-Year")</f>
        <v>156544.5</v>
      </c>
      <c r="D54" s="197">
        <f>GETPIVOTDATA("Sum of Old-Tot G SCH Calc",'Pivot Table for Fact Book'!$A$3,"State","MD","type",2,"Type2","Four-Year")</f>
        <v>31112</v>
      </c>
      <c r="E54" s="198">
        <f>GETPIVOTDATA("Sum of New-Tot G SCH Calc",'Pivot Table for Fact Book'!$A$3,"State","MD","type",2,"Type2","Four-Year")</f>
        <v>35406</v>
      </c>
      <c r="F54" s="197">
        <f>GETPIVOTDATA("Sum of Old-Tot G SCH Calc",'Pivot Table for Fact Book'!$A$3,"State","MD","type",3,"Type2","Four-Year")</f>
        <v>70318</v>
      </c>
      <c r="G54" s="198">
        <f>GETPIVOTDATA("Sum of New-Tot G SCH Calc",'Pivot Table for Fact Book'!$A$3,"State","MD","type",3,"Type2","Four-Year")</f>
        <v>76034.5</v>
      </c>
      <c r="H54" s="197">
        <f>GETPIVOTDATA("Sum of Old-Tot G SCH Calc",'Pivot Table for Fact Book'!$A$3,"State","MD","type",4,"Type2","Four-Year")</f>
        <v>112464</v>
      </c>
      <c r="I54" s="198">
        <f>GETPIVOTDATA("Sum of New-Tot G SCH Calc",'Pivot Table for Fact Book'!$A$3,"State","MD","type",4,"Type2","Four-Year")</f>
        <v>191450</v>
      </c>
      <c r="J54" s="197">
        <f>GETPIVOTDATA("Sum of Old-Tot G SCH Calc",'Pivot Table for Fact Book'!$A$3,"State","MD","type",5,"Type2","Four-Year")</f>
        <v>0</v>
      </c>
      <c r="K54" s="198">
        <f>GETPIVOTDATA("Sum of New-Tot G SCH Calc",'Pivot Table for Fact Book'!$A$3,"State","MD","type",5,"Type2","Four-Year")</f>
        <v>0</v>
      </c>
      <c r="L54" s="197">
        <f>GETPIVOTDATA("Sum of Old-Tot G SCH Calc",'Pivot Table for Fact Book'!$A$3,"State","MD","type",6,"Type2","Four-Year")</f>
        <v>1900</v>
      </c>
      <c r="M54" s="198">
        <f>GETPIVOTDATA("Sum of New-Tot G SCH Calc",'Pivot Table for Fact Book'!$A$3,"State","MD","type",6,"Type2","Four-Year")</f>
        <v>1937</v>
      </c>
      <c r="N54" s="197">
        <f>GETPIVOTDATA("Sum of Old-Tot G SCH Calc",'Pivot Table for Fact Book'!$A$3,"State","MD","type",15,"Type2","Four-Year")</f>
        <v>159416</v>
      </c>
      <c r="O54" s="198">
        <f>GETPIVOTDATA("Sum of New-Tot G SCH Calc",'Pivot Table for Fact Book'!$A$3,"State","MD","type",15,"Type2","Four-Year")</f>
        <v>173875</v>
      </c>
      <c r="P54" s="199">
        <f>GETPIVOTDATA("Sum of Old-Tot G SCH Calc",'Pivot Table for Fact Book'!$A$3,"State","MD","Type2","Four-Year")</f>
        <v>530085</v>
      </c>
      <c r="Q54" s="199">
        <f>GETPIVOTDATA("Sum of New-Tot G SCH Calc",'Pivot Table for Fact Book'!$A$3,"State","MD","Type2","Four-Year")</f>
        <v>635247</v>
      </c>
      <c r="R54" s="197">
        <f>GETPIVOTDATA("Sum of Old-Tot G SCH Calc",'Pivot Table for Fact Book'!$A$3,"State","MD","type",7,"Type2","Two-Year")</f>
        <v>0</v>
      </c>
      <c r="S54" s="200">
        <f>GETPIVOTDATA("Sum of New-Tot G SCH Calc",'Pivot Table for Fact Book'!$A$3,"State","MD","type",7,"Type2","Two-Year")</f>
        <v>0</v>
      </c>
      <c r="T54" s="200">
        <f>GETPIVOTDATA("Sum of Old-Tot G SCH Calc",'Pivot Table for Fact Book'!$A$3,"State","MD","type",8,"Type2","Two-Year")</f>
        <v>0</v>
      </c>
      <c r="U54" s="200">
        <f>GETPIVOTDATA("Sum of New-Tot G SCH Calc",'Pivot Table for Fact Book'!$A$3,"State","MD","type",8,"Type2","Two-Year")</f>
        <v>0</v>
      </c>
      <c r="V54" s="200">
        <f>GETPIVOTDATA("Sum of Old-Tot G SCH Calc",'Pivot Table for Fact Book'!$A$3,"State","MD","type",9,"Type2","Two-Year")</f>
        <v>0</v>
      </c>
      <c r="W54" s="200">
        <f>GETPIVOTDATA("Sum of New-Tot G SCH Calc",'Pivot Table for Fact Book'!$A$3,"State","MD","type",9,"Type2","Two-Year")</f>
        <v>0</v>
      </c>
      <c r="X54" s="200">
        <f>GETPIVOTDATA("Sum of Old-Tot G SCH Calc",'Pivot Table for Fact Book'!$A$3,"State","MD","type",10,"Type2","Two-Year")</f>
        <v>0</v>
      </c>
      <c r="Y54" s="200">
        <f>GETPIVOTDATA("Sum of New-Tot G SCH Calc",'Pivot Table for Fact Book'!$A$3,"State","MD","type",10,"Type2","Two-Year")</f>
        <v>0</v>
      </c>
      <c r="Z54" s="201">
        <f>GETPIVOTDATA("Sum of Old-Tot G SCH Calc",'Pivot Table for Fact Book'!$A$3,"State","MD","Type2","Two-Year")</f>
        <v>0</v>
      </c>
      <c r="AA54" s="201">
        <f>GETPIVOTDATA("Sum of New-Tot G SCH Calc",'Pivot Table for Fact Book'!$A$3,"State","MD","Type2","Two-Year")</f>
        <v>0</v>
      </c>
      <c r="AB54" s="197">
        <f>GETPIVOTDATA("Sum of Old-Tot G SCH Calc",'Pivot Table for Fact Book'!$A$3,"State","MD","type",12,"Type2","Technical")</f>
        <v>0</v>
      </c>
      <c r="AC54" s="200">
        <f>GETPIVOTDATA("Sum of New-Tot G SCH Calc",'Pivot Table for Fact Book'!$A$3,"State","MD","type",12,"Type2","Technical")</f>
        <v>0</v>
      </c>
      <c r="AD54" s="200">
        <f>GETPIVOTDATA("Sum of Old-Tot G SCH Calc",'Pivot Table for Fact Book'!$A$3,"State","MD","type",13,"Type2","Technical")</f>
        <v>0</v>
      </c>
      <c r="AE54" s="200">
        <f>GETPIVOTDATA("Sum of New-Tot G SCH Calc",'Pivot Table for Fact Book'!$A$3,"State","MD","type",13,"Type2","Technical")</f>
        <v>0</v>
      </c>
      <c r="AF54" s="203">
        <f>GETPIVOTDATA("Sum of Old-Tot G SCH Calc",'Pivot Table for Fact Book'!$A$3,"State","MD","Type2","Technical")</f>
        <v>0</v>
      </c>
      <c r="AG54" s="203">
        <f>GETPIVOTDATA("Sum of New-Tot G SCH Calc",'Pivot Table for Fact Book'!$A$3,"State","MD","Type2","Technical")</f>
        <v>0</v>
      </c>
      <c r="AH54" s="14"/>
    </row>
    <row r="55" spans="1:34">
      <c r="A55" s="196" t="s">
        <v>183</v>
      </c>
      <c r="B55" s="197">
        <f>GETPIVOTDATA("Sum of Old-Tot G SCH Calc",'Pivot Table for Fact Book'!$A$3,"State","MS","type",1,"Type2","Four-Year")</f>
        <v>121801</v>
      </c>
      <c r="C55" s="198">
        <f>GETPIVOTDATA("Sum of New-Tot G SCH Calc",'Pivot Table for Fact Book'!$A$3,"State","MS","type",1,"Type2","Four-Year")</f>
        <v>124105</v>
      </c>
      <c r="D55" s="197">
        <f>GETPIVOTDATA("Sum of Old-Tot G SCH Calc",'Pivot Table for Fact Book'!$A$3,"State","MS","type",2,"Type2","Four-Year")</f>
        <v>83666</v>
      </c>
      <c r="E55" s="198">
        <f>GETPIVOTDATA("Sum of New-Tot G SCH Calc",'Pivot Table for Fact Book'!$A$3,"State","MS","type",2,"Type2","Four-Year")</f>
        <v>87762.5</v>
      </c>
      <c r="F55" s="197">
        <f>GETPIVOTDATA("Sum of Old-Tot G SCH Calc",'Pivot Table for Fact Book'!$A$3,"State","MS","type",3,"Type2","Four-Year")</f>
        <v>0</v>
      </c>
      <c r="G55" s="198">
        <f>GETPIVOTDATA("Sum of New-Tot G SCH Calc",'Pivot Table for Fact Book'!$A$3,"State","MS","type",3,"Type2","Four-Year")</f>
        <v>0</v>
      </c>
      <c r="H55" s="197">
        <f>GETPIVOTDATA("Sum of Old-Tot G SCH Calc",'Pivot Table for Fact Book'!$A$3,"State","MS","type",4,"Type2","Four-Year")</f>
        <v>30749</v>
      </c>
      <c r="I55" s="198">
        <f>GETPIVOTDATA("Sum of New-Tot G SCH Calc",'Pivot Table for Fact Book'!$A$3,"State","MS","type",4,"Type2","Four-Year")</f>
        <v>38310</v>
      </c>
      <c r="J55" s="197">
        <f>GETPIVOTDATA("Sum of Old-Tot G SCH Calc",'Pivot Table for Fact Book'!$A$3,"State","MS","type",5,"Type2","Four-Year")</f>
        <v>4413</v>
      </c>
      <c r="K55" s="198">
        <f>GETPIVOTDATA("Sum of New-Tot G SCH Calc",'Pivot Table for Fact Book'!$A$3,"State","MS","type",5,"Type2","Four-Year")</f>
        <v>4501</v>
      </c>
      <c r="L55" s="197">
        <f>GETPIVOTDATA("Sum of Old-Tot G SCH Calc",'Pivot Table for Fact Book'!$A$3,"State","MS","type",6,"Type2","Four-Year")</f>
        <v>0</v>
      </c>
      <c r="M55" s="198">
        <f>GETPIVOTDATA("Sum of New-Tot G SCH Calc",'Pivot Table for Fact Book'!$A$3,"State","MS","type",6,"Type2","Four-Year")</f>
        <v>0</v>
      </c>
      <c r="N55" s="197">
        <f>GETPIVOTDATA("Sum of Old-Tot G SCH Calc",'Pivot Table for Fact Book'!$A$3,"State","MS","type",15,"Type2","Four-Year")</f>
        <v>0</v>
      </c>
      <c r="O55" s="198">
        <f>GETPIVOTDATA("Sum of New-Tot G SCH Calc",'Pivot Table for Fact Book'!$A$3,"State","MS","type",15,"Type2","Four-Year")</f>
        <v>0</v>
      </c>
      <c r="P55" s="199">
        <f>GETPIVOTDATA("Sum of Old-Tot G SCH Calc",'Pivot Table for Fact Book'!$A$3,"State","MS","Type2","Four-Year")</f>
        <v>240629</v>
      </c>
      <c r="Q55" s="199">
        <f>GETPIVOTDATA("Sum of New-Tot G SCH Calc",'Pivot Table for Fact Book'!$A$3,"State","MS","Type2","Four-Year")</f>
        <v>254678.5</v>
      </c>
      <c r="R55" s="197">
        <f>GETPIVOTDATA("Sum of Old-Tot G SCH Calc",'Pivot Table for Fact Book'!$A$3,"State","MS","type",7,"Type2","Two-Year")</f>
        <v>0</v>
      </c>
      <c r="S55" s="200">
        <f>GETPIVOTDATA("Sum of New-Tot G SCH Calc",'Pivot Table for Fact Book'!$A$3,"State","MS","type",7,"Type2","Two-Year")</f>
        <v>0</v>
      </c>
      <c r="T55" s="200">
        <f>GETPIVOTDATA("Sum of Old-Tot G SCH Calc",'Pivot Table for Fact Book'!$A$3,"State","MS","type",8,"Type2","Two-Year")</f>
        <v>0</v>
      </c>
      <c r="U55" s="200">
        <f>GETPIVOTDATA("Sum of New-Tot G SCH Calc",'Pivot Table for Fact Book'!$A$3,"State","MS","type",8,"Type2","Two-Year")</f>
        <v>0</v>
      </c>
      <c r="V55" s="200">
        <f>GETPIVOTDATA("Sum of Old-Tot G SCH Calc",'Pivot Table for Fact Book'!$A$3,"State","MS","type",9,"Type2","Two-Year")</f>
        <v>0</v>
      </c>
      <c r="W55" s="200">
        <f>GETPIVOTDATA("Sum of New-Tot G SCH Calc",'Pivot Table for Fact Book'!$A$3,"State","MS","type",9,"Type2","Two-Year")</f>
        <v>0</v>
      </c>
      <c r="X55" s="200">
        <f>GETPIVOTDATA("Sum of Old-Tot G SCH Calc",'Pivot Table for Fact Book'!$A$3,"State","MS","type",10,"Type2","Two-Year")</f>
        <v>0</v>
      </c>
      <c r="Y55" s="200">
        <f>GETPIVOTDATA("Sum of New-Tot G SCH Calc",'Pivot Table for Fact Book'!$A$3,"State","MS","type",10,"Type2","Two-Year")</f>
        <v>0</v>
      </c>
      <c r="Z55" s="201">
        <f>GETPIVOTDATA("Sum of Old-Tot G SCH Calc",'Pivot Table for Fact Book'!$A$3,"State","MS","Type2","Two-Year")</f>
        <v>0</v>
      </c>
      <c r="AA55" s="201">
        <f>GETPIVOTDATA("Sum of New-Tot G SCH Calc",'Pivot Table for Fact Book'!$A$3,"State","MS","Type2","Two-Year")</f>
        <v>0</v>
      </c>
      <c r="AB55" s="197">
        <f>GETPIVOTDATA("Sum of Old-Tot G SCH Calc",'Pivot Table for Fact Book'!$A$3,"State","MS","type",12,"Type2","Technical")</f>
        <v>0</v>
      </c>
      <c r="AC55" s="200">
        <f>GETPIVOTDATA("Sum of New-Tot G SCH Calc",'Pivot Table for Fact Book'!$A$3,"State","MS","type",12,"Type2","Technical")</f>
        <v>0</v>
      </c>
      <c r="AD55" s="200">
        <f>GETPIVOTDATA("Sum of Old-Tot G SCH Calc",'Pivot Table for Fact Book'!$A$3,"State","MS","type",13,"Type2","Technical")</f>
        <v>0</v>
      </c>
      <c r="AE55" s="200">
        <f>GETPIVOTDATA("Sum of New-Tot G SCH Calc",'Pivot Table for Fact Book'!$A$3,"State","MS","type",13,"Type2","Technical")</f>
        <v>0</v>
      </c>
      <c r="AF55" s="203">
        <f>GETPIVOTDATA("Sum of Old-Tot G SCH Calc",'Pivot Table for Fact Book'!$A$3,"State","MS","Type2","Technical")</f>
        <v>0</v>
      </c>
      <c r="AG55" s="203">
        <f>GETPIVOTDATA("Sum of New-Tot G SCH Calc",'Pivot Table for Fact Book'!$A$3,"State","MS","Type2","Technical")</f>
        <v>0</v>
      </c>
      <c r="AH55" s="14"/>
    </row>
    <row r="56" spans="1:34">
      <c r="A56" s="196" t="s">
        <v>184</v>
      </c>
      <c r="B56" s="197">
        <f>GETPIVOTDATA("Sum of Old-Tot G SCH Calc",'Pivot Table for Fact Book'!$A$3,"State","NC","type",1,"Type2","Four-Year")</f>
        <v>315151</v>
      </c>
      <c r="C56" s="198">
        <f>GETPIVOTDATA("Sum of New-Tot G SCH Calc",'Pivot Table for Fact Book'!$A$3,"State","NC","type",1,"Type2","Four-Year")</f>
        <v>328255</v>
      </c>
      <c r="D56" s="197">
        <f>GETPIVOTDATA("Sum of Old-Tot G SCH Calc",'Pivot Table for Fact Book'!$A$3,"State","NC","type",2,"Type2","Four-Year")</f>
        <v>142060</v>
      </c>
      <c r="E56" s="198">
        <f>GETPIVOTDATA("Sum of New-Tot G SCH Calc",'Pivot Table for Fact Book'!$A$3,"State","NC","type",2,"Type2","Four-Year")</f>
        <v>145475</v>
      </c>
      <c r="F56" s="197">
        <f>GETPIVOTDATA("Sum of Old-Tot G SCH Calc",'Pivot Table for Fact Book'!$A$3,"State","NC","type",3,"Type2","Four-Year")</f>
        <v>273957</v>
      </c>
      <c r="G56" s="198">
        <f>GETPIVOTDATA("Sum of New-Tot G SCH Calc",'Pivot Table for Fact Book'!$A$3,"State","NC","type",3,"Type2","Four-Year")</f>
        <v>278815</v>
      </c>
      <c r="H56" s="197">
        <f>GETPIVOTDATA("Sum of Old-Tot G SCH Calc",'Pivot Table for Fact Book'!$A$3,"State","NC","type",4,"Type2","Four-Year")</f>
        <v>9056</v>
      </c>
      <c r="I56" s="198">
        <f>GETPIVOTDATA("Sum of New-Tot G SCH Calc",'Pivot Table for Fact Book'!$A$3,"State","NC","type",4,"Type2","Four-Year")</f>
        <v>9471</v>
      </c>
      <c r="J56" s="197">
        <f>GETPIVOTDATA("Sum of Old-Tot G SCH Calc",'Pivot Table for Fact Book'!$A$3,"State","NC","type",5,"Type2","Four-Year")</f>
        <v>21059</v>
      </c>
      <c r="K56" s="198">
        <f>GETPIVOTDATA("Sum of New-Tot G SCH Calc",'Pivot Table for Fact Book'!$A$3,"State","NC","type",5,"Type2","Four-Year")</f>
        <v>21876</v>
      </c>
      <c r="L56" s="197">
        <f>GETPIVOTDATA("Sum of Old-Tot G SCH Calc",'Pivot Table for Fact Book'!$A$3,"State","NC","type",6,"Type2","Four-Year")</f>
        <v>1366</v>
      </c>
      <c r="M56" s="198">
        <f>GETPIVOTDATA("Sum of New-Tot G SCH Calc",'Pivot Table for Fact Book'!$A$3,"State","NC","type",6,"Type2","Four-Year")</f>
        <v>1519</v>
      </c>
      <c r="N56" s="197">
        <f>GETPIVOTDATA("Sum of Old-Tot G SCH Calc",'Pivot Table for Fact Book'!$A$3,"State","NC","type",15,"Type2","Four-Year")</f>
        <v>0</v>
      </c>
      <c r="O56" s="198">
        <f>GETPIVOTDATA("Sum of New-Tot G SCH Calc",'Pivot Table for Fact Book'!$A$3,"State","NC","type",15,"Type2","Four-Year")</f>
        <v>0</v>
      </c>
      <c r="P56" s="199">
        <f>GETPIVOTDATA("Sum of Old-Tot G SCH Calc",'Pivot Table for Fact Book'!$A$3,"State","NC","Type2","Four-Year")</f>
        <v>762649</v>
      </c>
      <c r="Q56" s="199">
        <f>GETPIVOTDATA("Sum of New-Tot G SCH Calc",'Pivot Table for Fact Book'!$A$3,"State","NC","Type2","Four-Year")</f>
        <v>785411</v>
      </c>
      <c r="R56" s="197">
        <f>GETPIVOTDATA("Sum of Old-Tot G SCH Calc",'Pivot Table for Fact Book'!$A$3,"State","NC","type",7,"Type2","Two-Year")</f>
        <v>0</v>
      </c>
      <c r="S56" s="200">
        <f>GETPIVOTDATA("Sum of New-Tot G SCH Calc",'Pivot Table for Fact Book'!$A$3,"State","NC","type",7,"Type2","Two-Year")</f>
        <v>0</v>
      </c>
      <c r="T56" s="200">
        <f>GETPIVOTDATA("Sum of Old-Tot G SCH Calc",'Pivot Table for Fact Book'!$A$3,"State","NC","type",8,"Type2","Two-Year")</f>
        <v>0</v>
      </c>
      <c r="U56" s="200">
        <f>GETPIVOTDATA("Sum of New-Tot G SCH Calc",'Pivot Table for Fact Book'!$A$3,"State","NC","type",8,"Type2","Two-Year")</f>
        <v>0</v>
      </c>
      <c r="V56" s="200">
        <f>GETPIVOTDATA("Sum of Old-Tot G SCH Calc",'Pivot Table for Fact Book'!$A$3,"State","NC","type",9,"Type2","Two-Year")</f>
        <v>0</v>
      </c>
      <c r="W56" s="200">
        <f>GETPIVOTDATA("Sum of New-Tot G SCH Calc",'Pivot Table for Fact Book'!$A$3,"State","NC","type",9,"Type2","Two-Year")</f>
        <v>0</v>
      </c>
      <c r="X56" s="200">
        <f>GETPIVOTDATA("Sum of Old-Tot G SCH Calc",'Pivot Table for Fact Book'!$A$3,"State","NC","type",10,"Type2","Two-Year")</f>
        <v>0</v>
      </c>
      <c r="Y56" s="200">
        <f>GETPIVOTDATA("Sum of New-Tot G SCH Calc",'Pivot Table for Fact Book'!$A$3,"State","NC","type",10,"Type2","Two-Year")</f>
        <v>0</v>
      </c>
      <c r="Z56" s="201">
        <f>GETPIVOTDATA("Sum of Old-Tot G SCH Calc",'Pivot Table for Fact Book'!$A$3,"State","NC","Type2","Two-Year")</f>
        <v>0</v>
      </c>
      <c r="AA56" s="201">
        <f>GETPIVOTDATA("Sum of New-Tot G SCH Calc",'Pivot Table for Fact Book'!$A$3,"State","NC","Type2","Two-Year")</f>
        <v>0</v>
      </c>
      <c r="AB56" s="197">
        <f>GETPIVOTDATA("Sum of Old-Tot G SCH Calc",'Pivot Table for Fact Book'!$A$3,"State","NC","type",12,"Type2","Technical")</f>
        <v>0</v>
      </c>
      <c r="AC56" s="200">
        <f>GETPIVOTDATA("Sum of New-Tot G SCH Calc",'Pivot Table for Fact Book'!$A$3,"State","NC","type",12,"Type2","Technical")</f>
        <v>0</v>
      </c>
      <c r="AD56" s="200">
        <f>GETPIVOTDATA("Sum of Old-Tot G SCH Calc",'Pivot Table for Fact Book'!$A$3,"State","NC","type",13,"Type2","Technical")</f>
        <v>0</v>
      </c>
      <c r="AE56" s="200">
        <f>GETPIVOTDATA("Sum of New-Tot G SCH Calc",'Pivot Table for Fact Book'!$A$3,"State","NC","type",13,"Type2","Technical")</f>
        <v>0</v>
      </c>
      <c r="AF56" s="203">
        <f>GETPIVOTDATA("Sum of Old-Tot G SCH Calc",'Pivot Table for Fact Book'!$A$3,"State","NC","Type2","Technical")</f>
        <v>0</v>
      </c>
      <c r="AG56" s="203">
        <f>GETPIVOTDATA("Sum of New-Tot G SCH Calc",'Pivot Table for Fact Book'!$A$3,"State","NC","Type2","Technical")</f>
        <v>0</v>
      </c>
      <c r="AH56" s="14"/>
    </row>
    <row r="57" spans="1:34">
      <c r="A57" s="196" t="s">
        <v>185</v>
      </c>
      <c r="B57" s="197">
        <f>GETPIVOTDATA("Sum of Old-Tot G SCH Calc",'Pivot Table for Fact Book'!$A$3,"State","OK","type",1,"Type2","Four-Year")</f>
        <v>150592</v>
      </c>
      <c r="C57" s="198">
        <f>GETPIVOTDATA("Sum of New-Tot G SCH Calc",'Pivot Table for Fact Book'!$A$3,"State","OK","type",1,"Type2","Four-Year")</f>
        <v>167586</v>
      </c>
      <c r="D57" s="197">
        <f>GETPIVOTDATA("Sum of Old-Tot G SCH Calc",'Pivot Table for Fact Book'!$A$3,"State","OK","type",2,"Type2","Four-Year")</f>
        <v>0</v>
      </c>
      <c r="E57" s="198">
        <f>GETPIVOTDATA("Sum of New-Tot G SCH Calc",'Pivot Table for Fact Book'!$A$3,"State","OK","type",2,"Type2","Four-Year")</f>
        <v>0</v>
      </c>
      <c r="F57" s="197">
        <f>GETPIVOTDATA("Sum of Old-Tot G SCH Calc",'Pivot Table for Fact Book'!$A$3,"State","OK","type",3,"Type2","Four-Year")</f>
        <v>43880</v>
      </c>
      <c r="G57" s="198">
        <f>GETPIVOTDATA("Sum of New-Tot G SCH Calc",'Pivot Table for Fact Book'!$A$3,"State","OK","type",3,"Type2","Four-Year")</f>
        <v>48051</v>
      </c>
      <c r="H57" s="197">
        <f>GETPIVOTDATA("Sum of Old-Tot G SCH Calc",'Pivot Table for Fact Book'!$A$3,"State","OK","type",4,"Type2","Four-Year")</f>
        <v>0</v>
      </c>
      <c r="I57" s="198">
        <f>GETPIVOTDATA("Sum of New-Tot G SCH Calc",'Pivot Table for Fact Book'!$A$3,"State","OK","type",4,"Type2","Four-Year")</f>
        <v>0</v>
      </c>
      <c r="J57" s="197">
        <f>GETPIVOTDATA("Sum of Old-Tot G SCH Calc",'Pivot Table for Fact Book'!$A$3,"State","OK","type",5,"Type2","Four-Year")</f>
        <v>50889</v>
      </c>
      <c r="K57" s="198">
        <f>GETPIVOTDATA("Sum of New-Tot G SCH Calc",'Pivot Table for Fact Book'!$A$3,"State","OK","type",5,"Type2","Four-Year")</f>
        <v>53667</v>
      </c>
      <c r="L57" s="197">
        <f>GETPIVOTDATA("Sum of Old-Tot G SCH Calc",'Pivot Table for Fact Book'!$A$3,"State","OK","type",6,"Type2","Four-Year")</f>
        <v>0</v>
      </c>
      <c r="M57" s="198">
        <f>GETPIVOTDATA("Sum of New-Tot G SCH Calc",'Pivot Table for Fact Book'!$A$3,"State","OK","type",6,"Type2","Four-Year")</f>
        <v>0</v>
      </c>
      <c r="N57" s="197">
        <f>GETPIVOTDATA("Sum of Old-Tot G SCH Calc",'Pivot Table for Fact Book'!$A$3,"State","OK","type",15,"Type2","Four-Year")</f>
        <v>0</v>
      </c>
      <c r="O57" s="198">
        <f>GETPIVOTDATA("Sum of New-Tot G SCH Calc",'Pivot Table for Fact Book'!$A$3,"State","OK","type",15,"Type2","Four-Year")</f>
        <v>0</v>
      </c>
      <c r="P57" s="199">
        <f>GETPIVOTDATA("Sum of Old-Tot G SCH Calc",'Pivot Table for Fact Book'!$A$3,"State","OK","Type2","Four-Year")</f>
        <v>245361</v>
      </c>
      <c r="Q57" s="199">
        <f>GETPIVOTDATA("Sum of New-Tot G SCH Calc",'Pivot Table for Fact Book'!$A$3,"State","OK","Type2","Four-Year")</f>
        <v>269304</v>
      </c>
      <c r="R57" s="197">
        <f>GETPIVOTDATA("Sum of Old-Tot G SCH Calc",'Pivot Table for Fact Book'!$A$3,"State","OK","type",7,"Type2","Two-Year")</f>
        <v>0</v>
      </c>
      <c r="S57" s="200">
        <f>GETPIVOTDATA("Sum of New-Tot G SCH Calc",'Pivot Table for Fact Book'!$A$3,"State","OK","type",7,"Type2","Two-Year")</f>
        <v>0</v>
      </c>
      <c r="T57" s="200">
        <f>GETPIVOTDATA("Sum of Old-Tot G SCH Calc",'Pivot Table for Fact Book'!$A$3,"State","OK","type",8,"Type2","Two-Year")</f>
        <v>0</v>
      </c>
      <c r="U57" s="200">
        <f>GETPIVOTDATA("Sum of New-Tot G SCH Calc",'Pivot Table for Fact Book'!$A$3,"State","OK","type",8,"Type2","Two-Year")</f>
        <v>0</v>
      </c>
      <c r="V57" s="200">
        <f>GETPIVOTDATA("Sum of Old-Tot G SCH Calc",'Pivot Table for Fact Book'!$A$3,"State","OK","type",9,"Type2","Two-Year")</f>
        <v>0</v>
      </c>
      <c r="W57" s="200">
        <f>GETPIVOTDATA("Sum of New-Tot G SCH Calc",'Pivot Table for Fact Book'!$A$3,"State","OK","type",9,"Type2","Two-Year")</f>
        <v>0</v>
      </c>
      <c r="X57" s="200">
        <f>GETPIVOTDATA("Sum of Old-Tot G SCH Calc",'Pivot Table for Fact Book'!$A$3,"State","OK","type",10,"Type2","Two-Year")</f>
        <v>0</v>
      </c>
      <c r="Y57" s="200">
        <f>GETPIVOTDATA("Sum of New-Tot G SCH Calc",'Pivot Table for Fact Book'!$A$3,"State","OK","type",10,"Type2","Two-Year")</f>
        <v>0</v>
      </c>
      <c r="Z57" s="201">
        <f>GETPIVOTDATA("Sum of Old-Tot G SCH Calc",'Pivot Table for Fact Book'!$A$3,"State","OK","Type2","Two-Year")</f>
        <v>0</v>
      </c>
      <c r="AA57" s="201">
        <f>GETPIVOTDATA("Sum of New-Tot G SCH Calc",'Pivot Table for Fact Book'!$A$3,"State","OK","Type2","Two-Year")</f>
        <v>0</v>
      </c>
      <c r="AB57" s="197">
        <f>GETPIVOTDATA("Sum of Old-Tot G SCH Calc",'Pivot Table for Fact Book'!$A$3,"State","OK","type",12,"Type2","Technical")</f>
        <v>0</v>
      </c>
      <c r="AC57" s="200">
        <f>GETPIVOTDATA("Sum of New-Tot G SCH Calc",'Pivot Table for Fact Book'!$A$3,"State","OK","type",12,"Type2","Technical")</f>
        <v>0</v>
      </c>
      <c r="AD57" s="200">
        <f>GETPIVOTDATA("Sum of Old-Tot G SCH Calc",'Pivot Table for Fact Book'!$A$3,"State","OK","type",13,"Type2","Technical")</f>
        <v>0</v>
      </c>
      <c r="AE57" s="200">
        <f>GETPIVOTDATA("Sum of New-Tot G SCH Calc",'Pivot Table for Fact Book'!$A$3,"State","OK","type",13,"Type2","Technical")</f>
        <v>0</v>
      </c>
      <c r="AF57" s="203">
        <f>GETPIVOTDATA("Sum of Old-Tot G SCH Calc",'Pivot Table for Fact Book'!$A$3,"State","OK","Type2","Technical")</f>
        <v>0</v>
      </c>
      <c r="AG57" s="203">
        <f>GETPIVOTDATA("Sum of New-Tot G SCH Calc",'Pivot Table for Fact Book'!$A$3,"State","OK","Type2","Technical")</f>
        <v>0</v>
      </c>
      <c r="AH57" s="14"/>
    </row>
    <row r="58" spans="1:34">
      <c r="A58" s="196" t="s">
        <v>186</v>
      </c>
      <c r="B58" s="197">
        <f>GETPIVOTDATA("Sum of Old-Tot G SCH Calc",'Pivot Table for Fact Book'!$A$3,"State","SC","type",1,"Type2","Four-Year")</f>
        <v>179093</v>
      </c>
      <c r="C58" s="198">
        <f>GETPIVOTDATA("Sum of New-Tot G SCH Calc",'Pivot Table for Fact Book'!$A$3,"State","SC","type",1,"Type2","Four-Year")</f>
        <v>190348</v>
      </c>
      <c r="D58" s="197">
        <f>GETPIVOTDATA("Sum of Old-Tot G SCH Calc",'Pivot Table for Fact Book'!$A$3,"State","SC","type",2,"Type2","Four-Year")</f>
        <v>0</v>
      </c>
      <c r="E58" s="198">
        <f>GETPIVOTDATA("Sum of New-Tot G SCH Calc",'Pivot Table for Fact Book'!$A$3,"State","SC","type",2,"Type2","Four-Year")</f>
        <v>0</v>
      </c>
      <c r="F58" s="197">
        <f>GETPIVOTDATA("Sum of Old-Tot G SCH Calc",'Pivot Table for Fact Book'!$A$3,"State","SC","type",3,"Type2","Four-Year")</f>
        <v>36433</v>
      </c>
      <c r="G58" s="198">
        <f>GETPIVOTDATA("Sum of New-Tot G SCH Calc",'Pivot Table for Fact Book'!$A$3,"State","SC","type",3,"Type2","Four-Year")</f>
        <v>36387</v>
      </c>
      <c r="H58" s="197">
        <f>GETPIVOTDATA("Sum of Old-Tot G SCH Calc",'Pivot Table for Fact Book'!$A$3,"State","SC","type",4,"Type2","Four-Year")</f>
        <v>15590</v>
      </c>
      <c r="I58" s="198">
        <f>GETPIVOTDATA("Sum of New-Tot G SCH Calc",'Pivot Table for Fact Book'!$A$3,"State","SC","type",4,"Type2","Four-Year")</f>
        <v>15502</v>
      </c>
      <c r="J58" s="197">
        <f>GETPIVOTDATA("Sum of Old-Tot G SCH Calc",'Pivot Table for Fact Book'!$A$3,"State","SC","type",5,"Type2","Four-Year")</f>
        <v>23565</v>
      </c>
      <c r="K58" s="198">
        <f>GETPIVOTDATA("Sum of New-Tot G SCH Calc",'Pivot Table for Fact Book'!$A$3,"State","SC","type",5,"Type2","Four-Year")</f>
        <v>25034</v>
      </c>
      <c r="L58" s="197">
        <f>GETPIVOTDATA("Sum of Old-Tot G SCH Calc",'Pivot Table for Fact Book'!$A$3,"State","SC","type",6,"Type2","Four-Year")</f>
        <v>3775</v>
      </c>
      <c r="M58" s="198">
        <f>GETPIVOTDATA("Sum of New-Tot G SCH Calc",'Pivot Table for Fact Book'!$A$3,"State","SC","type",6,"Type2","Four-Year")</f>
        <v>4397</v>
      </c>
      <c r="N58" s="197">
        <f>GETPIVOTDATA("Sum of Old-Tot G SCH Calc",'Pivot Table for Fact Book'!$A$3,"State","SC","type",15,"Type2","Four-Year")</f>
        <v>0</v>
      </c>
      <c r="O58" s="198">
        <f>GETPIVOTDATA("Sum of New-Tot G SCH Calc",'Pivot Table for Fact Book'!$A$3,"State","SC","type",15,"Type2","Four-Year")</f>
        <v>0</v>
      </c>
      <c r="P58" s="199">
        <f>GETPIVOTDATA("Sum of Old-Tot G SCH Calc",'Pivot Table for Fact Book'!$A$3,"State","SC","Type2","Four-Year")</f>
        <v>258456</v>
      </c>
      <c r="Q58" s="199">
        <f>GETPIVOTDATA("Sum of New-Tot G SCH Calc",'Pivot Table for Fact Book'!$A$3,"State","SC","Type2","Four-Year")</f>
        <v>271668</v>
      </c>
      <c r="R58" s="197">
        <f>GETPIVOTDATA("Sum of Old-Tot G SCH Calc",'Pivot Table for Fact Book'!$A$3,"State","SC","type",7,"Type2","Two-Year")</f>
        <v>0</v>
      </c>
      <c r="S58" s="200">
        <f>GETPIVOTDATA("Sum of New-Tot G SCH Calc",'Pivot Table for Fact Book'!$A$3,"State","SC","type",7,"Type2","Two-Year")</f>
        <v>0</v>
      </c>
      <c r="T58" s="200">
        <f>GETPIVOTDATA("Sum of Old-Tot G SCH Calc",'Pivot Table for Fact Book'!$A$3,"State","SC","type",8,"Type2","Two-Year")</f>
        <v>0</v>
      </c>
      <c r="U58" s="200">
        <f>GETPIVOTDATA("Sum of New-Tot G SCH Calc",'Pivot Table for Fact Book'!$A$3,"State","SC","type",8,"Type2","Two-Year")</f>
        <v>0</v>
      </c>
      <c r="V58" s="200">
        <f>GETPIVOTDATA("Sum of Old-Tot G SCH Calc",'Pivot Table for Fact Book'!$A$3,"State","SC","type",9,"Type2","Two-Year")</f>
        <v>0</v>
      </c>
      <c r="W58" s="200">
        <f>GETPIVOTDATA("Sum of New-Tot G SCH Calc",'Pivot Table for Fact Book'!$A$3,"State","SC","type",9,"Type2","Two-Year")</f>
        <v>0</v>
      </c>
      <c r="X58" s="200">
        <f>GETPIVOTDATA("Sum of Old-Tot G SCH Calc",'Pivot Table for Fact Book'!$A$3,"State","SC","type",10,"Type2","Two-Year")</f>
        <v>0</v>
      </c>
      <c r="Y58" s="200">
        <f>GETPIVOTDATA("Sum of New-Tot G SCH Calc",'Pivot Table for Fact Book'!$A$3,"State","SC","type",10,"Type2","Two-Year")</f>
        <v>0</v>
      </c>
      <c r="Z58" s="201">
        <f>GETPIVOTDATA("Sum of Old-Tot G SCH Calc",'Pivot Table for Fact Book'!$A$3,"State","SC","Type2","Two-Year")</f>
        <v>0</v>
      </c>
      <c r="AA58" s="201">
        <f>GETPIVOTDATA("Sum of New-Tot G SCH Calc",'Pivot Table for Fact Book'!$A$3,"State","SC","Type2","Two-Year")</f>
        <v>0</v>
      </c>
      <c r="AB58" s="197">
        <f>GETPIVOTDATA("Sum of Old-Tot G SCH Calc",'Pivot Table for Fact Book'!$A$3,"State","SC","type",12,"Type2","Technical")</f>
        <v>0</v>
      </c>
      <c r="AC58" s="200">
        <f>GETPIVOTDATA("Sum of New-Tot G SCH Calc",'Pivot Table for Fact Book'!$A$3,"State","SC","type",12,"Type2","Technical")</f>
        <v>0</v>
      </c>
      <c r="AD58" s="200">
        <f>GETPIVOTDATA("Sum of Old-Tot G SCH Calc",'Pivot Table for Fact Book'!$A$3,"State","SC","type",13,"Type2","Technical")</f>
        <v>0</v>
      </c>
      <c r="AE58" s="200">
        <f>GETPIVOTDATA("Sum of New-Tot G SCH Calc",'Pivot Table for Fact Book'!$A$3,"State","SC","type",13,"Type2","Technical")</f>
        <v>0</v>
      </c>
      <c r="AF58" s="203">
        <f>GETPIVOTDATA("Sum of Old-Tot G SCH Calc",'Pivot Table for Fact Book'!$A$3,"State","SC","Type2","Technical")</f>
        <v>0</v>
      </c>
      <c r="AG58" s="203">
        <f>GETPIVOTDATA("Sum of New-Tot G SCH Calc",'Pivot Table for Fact Book'!$A$3,"State","SC","Type2","Technical")</f>
        <v>0</v>
      </c>
      <c r="AH58" s="14"/>
    </row>
    <row r="59" spans="1:34">
      <c r="A59" s="196" t="s">
        <v>187</v>
      </c>
      <c r="B59" s="197">
        <f>GETPIVOTDATA("Sum of Old-Tot G SCH Calc",'Pivot Table for Fact Book'!$A$3,"State","TN","type",1,"Type2","Four-Year")</f>
        <v>202679</v>
      </c>
      <c r="C59" s="198">
        <f>GETPIVOTDATA("Sum of New-Tot G SCH Calc",'Pivot Table for Fact Book'!$A$3,"State","TN","type",1,"Type2","Four-Year")</f>
        <v>212702</v>
      </c>
      <c r="D59" s="197">
        <f>GETPIVOTDATA("Sum of Old-Tot G SCH Calc",'Pivot Table for Fact Book'!$A$3,"State","TN","type",2,"Type2","Four-Year")</f>
        <v>0</v>
      </c>
      <c r="E59" s="198">
        <f>GETPIVOTDATA("Sum of New-Tot G SCH Calc",'Pivot Table for Fact Book'!$A$3,"State","TN","type",2,"Type2","Four-Year")</f>
        <v>0</v>
      </c>
      <c r="F59" s="197">
        <f>GETPIVOTDATA("Sum of Old-Tot G SCH Calc",'Pivot Table for Fact Book'!$A$3,"State","TN","type",3,"Type2","Four-Year")</f>
        <v>190806</v>
      </c>
      <c r="G59" s="198">
        <f>GETPIVOTDATA("Sum of New-Tot G SCH Calc",'Pivot Table for Fact Book'!$A$3,"State","TN","type",3,"Type2","Four-Year")</f>
        <v>185012</v>
      </c>
      <c r="H59" s="197">
        <f>GETPIVOTDATA("Sum of Old-Tot G SCH Calc",'Pivot Table for Fact Book'!$A$3,"State","TN","type",4,"Type2","Four-Year")</f>
        <v>0</v>
      </c>
      <c r="I59" s="198">
        <f>GETPIVOTDATA("Sum of New-Tot G SCH Calc",'Pivot Table for Fact Book'!$A$3,"State","TN","type",4,"Type2","Four-Year")</f>
        <v>0</v>
      </c>
      <c r="J59" s="197">
        <f>GETPIVOTDATA("Sum of Old-Tot G SCH Calc",'Pivot Table for Fact Book'!$A$3,"State","TN","type",5,"Type2","Four-Year")</f>
        <v>7808</v>
      </c>
      <c r="K59" s="198">
        <f>GETPIVOTDATA("Sum of New-Tot G SCH Calc",'Pivot Table for Fact Book'!$A$3,"State","TN","type",5,"Type2","Four-Year")</f>
        <v>6675</v>
      </c>
      <c r="L59" s="197">
        <f>GETPIVOTDATA("Sum of Old-Tot G SCH Calc",'Pivot Table for Fact Book'!$A$3,"State","TN","type",6,"Type2","Four-Year")</f>
        <v>0</v>
      </c>
      <c r="M59" s="198">
        <f>GETPIVOTDATA("Sum of New-Tot G SCH Calc",'Pivot Table for Fact Book'!$A$3,"State","TN","type",6,"Type2","Four-Year")</f>
        <v>0</v>
      </c>
      <c r="N59" s="197">
        <f>GETPIVOTDATA("Sum of Old-Tot G SCH Calc",'Pivot Table for Fact Book'!$A$3,"State","TN","type",15,"Type2","Four-Year")</f>
        <v>0</v>
      </c>
      <c r="O59" s="198">
        <f>GETPIVOTDATA("Sum of New-Tot G SCH Calc",'Pivot Table for Fact Book'!$A$3,"State","TN","type",15,"Type2","Four-Year")</f>
        <v>0</v>
      </c>
      <c r="P59" s="199">
        <f>GETPIVOTDATA("Sum of Old-Tot G SCH Calc",'Pivot Table for Fact Book'!$A$3,"State","TN","Type2","Four-Year")</f>
        <v>401293</v>
      </c>
      <c r="Q59" s="199">
        <f>GETPIVOTDATA("Sum of New-Tot G SCH Calc",'Pivot Table for Fact Book'!$A$3,"State","TN","Type2","Four-Year")</f>
        <v>404389</v>
      </c>
      <c r="R59" s="197">
        <f>GETPIVOTDATA("Sum of Old-Tot G SCH Calc",'Pivot Table for Fact Book'!$A$3,"State","TN","type",7,"Type2","Two-Year")</f>
        <v>0</v>
      </c>
      <c r="S59" s="200">
        <f>GETPIVOTDATA("Sum of New-Tot G SCH Calc",'Pivot Table for Fact Book'!$A$3,"State","TN","type",7,"Type2","Two-Year")</f>
        <v>0</v>
      </c>
      <c r="T59" s="200">
        <f>GETPIVOTDATA("Sum of Old-Tot G SCH Calc",'Pivot Table for Fact Book'!$A$3,"State","TN","type",8,"Type2","Two-Year")</f>
        <v>0</v>
      </c>
      <c r="U59" s="200">
        <f>GETPIVOTDATA("Sum of New-Tot G SCH Calc",'Pivot Table for Fact Book'!$A$3,"State","TN","type",8,"Type2","Two-Year")</f>
        <v>0</v>
      </c>
      <c r="V59" s="200">
        <f>GETPIVOTDATA("Sum of Old-Tot G SCH Calc",'Pivot Table for Fact Book'!$A$3,"State","TN","type",9,"Type2","Two-Year")</f>
        <v>0</v>
      </c>
      <c r="W59" s="200">
        <f>GETPIVOTDATA("Sum of New-Tot G SCH Calc",'Pivot Table for Fact Book'!$A$3,"State","TN","type",9,"Type2","Two-Year")</f>
        <v>0</v>
      </c>
      <c r="X59" s="200">
        <f>GETPIVOTDATA("Sum of Old-Tot G SCH Calc",'Pivot Table for Fact Book'!$A$3,"State","TN","type",10,"Type2","Two-Year")</f>
        <v>0</v>
      </c>
      <c r="Y59" s="200">
        <f>GETPIVOTDATA("Sum of New-Tot G SCH Calc",'Pivot Table for Fact Book'!$A$3,"State","TN","type",10,"Type2","Two-Year")</f>
        <v>0</v>
      </c>
      <c r="Z59" s="201">
        <f>GETPIVOTDATA("Sum of Old-Tot G SCH Calc",'Pivot Table for Fact Book'!$A$3,"State","TN","Type2","Two-Year")</f>
        <v>0</v>
      </c>
      <c r="AA59" s="201">
        <f>GETPIVOTDATA("Sum of New-Tot G SCH Calc",'Pivot Table for Fact Book'!$A$3,"State","TN","Type2","Two-Year")</f>
        <v>0</v>
      </c>
      <c r="AB59" s="197">
        <f>GETPIVOTDATA("Sum of Old-Tot G SCH Calc",'Pivot Table for Fact Book'!$A$3,"State","TN","type",12,"Type2","Technical")</f>
        <v>0</v>
      </c>
      <c r="AC59" s="200">
        <f>GETPIVOTDATA("Sum of New-Tot G SCH Calc",'Pivot Table for Fact Book'!$A$3,"State","TN","type",12,"Type2","Technical")</f>
        <v>0</v>
      </c>
      <c r="AD59" s="200">
        <f>GETPIVOTDATA("Sum of Old-Tot G SCH Calc",'Pivot Table for Fact Book'!$A$3,"State","TN","type",13,"Type2","Technical")</f>
        <v>0</v>
      </c>
      <c r="AE59" s="200">
        <f>GETPIVOTDATA("Sum of New-Tot G SCH Calc",'Pivot Table for Fact Book'!$A$3,"State","TN","type",13,"Type2","Technical")</f>
        <v>0</v>
      </c>
      <c r="AF59" s="203">
        <f>GETPIVOTDATA("Sum of Old-Tot G SCH Calc",'Pivot Table for Fact Book'!$A$3,"State","TN","Type2","Technical")</f>
        <v>0</v>
      </c>
      <c r="AG59" s="203">
        <f>GETPIVOTDATA("Sum of New-Tot G SCH Calc",'Pivot Table for Fact Book'!$A$3,"State","TN","Type2","Technical")</f>
        <v>0</v>
      </c>
      <c r="AH59" s="14"/>
    </row>
    <row r="60" spans="1:34">
      <c r="A60" s="196" t="s">
        <v>188</v>
      </c>
      <c r="B60" s="197">
        <f>GETPIVOTDATA("Sum of Old-Tot G SCH Calc",'Pivot Table for Fact Book'!$A$3,"State","TX","type",1,"Type2","Four-Year")</f>
        <v>1023831</v>
      </c>
      <c r="C60" s="198">
        <f>GETPIVOTDATA("Sum of New-Tot G SCH Calc",'Pivot Table for Fact Book'!$A$3,"State","TX","type",1,"Type2","Four-Year")</f>
        <v>1092468</v>
      </c>
      <c r="D60" s="197">
        <f>GETPIVOTDATA("Sum of Old-Tot G SCH Calc",'Pivot Table for Fact Book'!$A$3,"State","TX","type",2,"Type2","Four-Year")</f>
        <v>202781</v>
      </c>
      <c r="E60" s="198">
        <f>GETPIVOTDATA("Sum of New-Tot G SCH Calc",'Pivot Table for Fact Book'!$A$3,"State","TX","type",2,"Type2","Four-Year")</f>
        <v>223134</v>
      </c>
      <c r="F60" s="197">
        <f>GETPIVOTDATA("Sum of Old-Tot G SCH Calc",'Pivot Table for Fact Book'!$A$3,"State","TX","type",3,"Type2","Four-Year")</f>
        <v>639402</v>
      </c>
      <c r="G60" s="198">
        <f>GETPIVOTDATA("Sum of New-Tot G SCH Calc",'Pivot Table for Fact Book'!$A$3,"State","TX","type",3,"Type2","Four-Year")</f>
        <v>661779</v>
      </c>
      <c r="H60" s="197">
        <f>GETPIVOTDATA("Sum of Old-Tot G SCH Calc",'Pivot Table for Fact Book'!$A$3,"State","TX","type",4,"Type2","Four-Year")</f>
        <v>44333</v>
      </c>
      <c r="I60" s="198">
        <f>GETPIVOTDATA("Sum of New-Tot G SCH Calc",'Pivot Table for Fact Book'!$A$3,"State","TX","type",4,"Type2","Four-Year")</f>
        <v>46936</v>
      </c>
      <c r="J60" s="197">
        <f>GETPIVOTDATA("Sum of Old-Tot G SCH Calc",'Pivot Table for Fact Book'!$A$3,"State","TX","type",5,"Type2","Four-Year")</f>
        <v>5490</v>
      </c>
      <c r="K60" s="198">
        <f>GETPIVOTDATA("Sum of New-Tot G SCH Calc",'Pivot Table for Fact Book'!$A$3,"State","TX","type",5,"Type2","Four-Year")</f>
        <v>5625</v>
      </c>
      <c r="L60" s="197">
        <f>GETPIVOTDATA("Sum of Old-Tot G SCH Calc",'Pivot Table for Fact Book'!$A$3,"State","TX","type",6,"Type2","Four-Year")</f>
        <v>874</v>
      </c>
      <c r="M60" s="198">
        <f>GETPIVOTDATA("Sum of New-Tot G SCH Calc",'Pivot Table for Fact Book'!$A$3,"State","TX","type",6,"Type2","Four-Year")</f>
        <v>996</v>
      </c>
      <c r="N60" s="197">
        <f>GETPIVOTDATA("Sum of Old-Tot G SCH Calc",'Pivot Table for Fact Book'!$A$3,"State","TX","type",15,"Type2","Four-Year")</f>
        <v>0</v>
      </c>
      <c r="O60" s="198">
        <f>GETPIVOTDATA("Sum of New-Tot G SCH Calc",'Pivot Table for Fact Book'!$A$3,"State","TX","type",15,"Type2","Four-Year")</f>
        <v>0</v>
      </c>
      <c r="P60" s="199">
        <f>GETPIVOTDATA("Sum of Old-Tot G SCH Calc",'Pivot Table for Fact Book'!$A$3,"State","TX","Type2","Four-Year")</f>
        <v>1916711</v>
      </c>
      <c r="Q60" s="199">
        <f>GETPIVOTDATA("Sum of New-Tot G SCH Calc",'Pivot Table for Fact Book'!$A$3,"State","TX","Type2","Four-Year")</f>
        <v>2030938</v>
      </c>
      <c r="R60" s="197">
        <f>GETPIVOTDATA("Sum of Old-Tot G SCH Calc",'Pivot Table for Fact Book'!$A$3,"State","TX","type",7,"Type2","Two-Year")</f>
        <v>0</v>
      </c>
      <c r="S60" s="200">
        <f>GETPIVOTDATA("Sum of New-Tot G SCH Calc",'Pivot Table for Fact Book'!$A$3,"State","TX","type",7,"Type2","Two-Year")</f>
        <v>0</v>
      </c>
      <c r="T60" s="200">
        <f>GETPIVOTDATA("Sum of Old-Tot G SCH Calc",'Pivot Table for Fact Book'!$A$3,"State","TX","type",8,"Type2","Two-Year")</f>
        <v>0</v>
      </c>
      <c r="U60" s="200">
        <f>GETPIVOTDATA("Sum of New-Tot G SCH Calc",'Pivot Table for Fact Book'!$A$3,"State","TX","type",8,"Type2","Two-Year")</f>
        <v>0</v>
      </c>
      <c r="V60" s="200">
        <f>GETPIVOTDATA("Sum of Old-Tot G SCH Calc",'Pivot Table for Fact Book'!$A$3,"State","TX","type",9,"Type2","Two-Year")</f>
        <v>0</v>
      </c>
      <c r="W60" s="200">
        <f>GETPIVOTDATA("Sum of New-Tot G SCH Calc",'Pivot Table for Fact Book'!$A$3,"State","TX","type",9,"Type2","Two-Year")</f>
        <v>0</v>
      </c>
      <c r="X60" s="200">
        <f>GETPIVOTDATA("Sum of Old-Tot G SCH Calc",'Pivot Table for Fact Book'!$A$3,"State","TX","type",10,"Type2","Two-Year")</f>
        <v>0</v>
      </c>
      <c r="Y60" s="200">
        <f>GETPIVOTDATA("Sum of New-Tot G SCH Calc",'Pivot Table for Fact Book'!$A$3,"State","TX","type",10,"Type2","Two-Year")</f>
        <v>0</v>
      </c>
      <c r="Z60" s="201">
        <f>GETPIVOTDATA("Sum of Old-Tot G SCH Calc",'Pivot Table for Fact Book'!$A$3,"State","TX","Type2","Two-Year")</f>
        <v>0</v>
      </c>
      <c r="AA60" s="201">
        <f>GETPIVOTDATA("Sum of New-Tot G SCH Calc",'Pivot Table for Fact Book'!$A$3,"State","TX","Type2","Two-Year")</f>
        <v>0</v>
      </c>
      <c r="AB60" s="197">
        <f>GETPIVOTDATA("Sum of Old-Tot G SCH Calc",'Pivot Table for Fact Book'!$A$3,"State","TX","type",12,"Type2","Technical")</f>
        <v>0</v>
      </c>
      <c r="AC60" s="200">
        <f>GETPIVOTDATA("Sum of New-Tot G SCH Calc",'Pivot Table for Fact Book'!$A$3,"State","TX","type",12,"Type2","Technical")</f>
        <v>0</v>
      </c>
      <c r="AD60" s="200">
        <f>GETPIVOTDATA("Sum of Old-Tot G SCH Calc",'Pivot Table for Fact Book'!$A$3,"State","TX","type",13,"Type2","Technical")</f>
        <v>0</v>
      </c>
      <c r="AE60" s="200">
        <f>GETPIVOTDATA("Sum of New-Tot G SCH Calc",'Pivot Table for Fact Book'!$A$3,"State","TX","type",13,"Type2","Technical")</f>
        <v>0</v>
      </c>
      <c r="AF60" s="203">
        <f>GETPIVOTDATA("Sum of Old-Tot G SCH Calc",'Pivot Table for Fact Book'!$A$3,"State","TX","Type2","Technical")</f>
        <v>0</v>
      </c>
      <c r="AG60" s="203">
        <f>GETPIVOTDATA("Sum of New-Tot G SCH Calc",'Pivot Table for Fact Book'!$A$3,"State","TX","Type2","Technical")</f>
        <v>0</v>
      </c>
      <c r="AH60" s="14"/>
    </row>
    <row r="61" spans="1:34">
      <c r="A61" s="196" t="s">
        <v>189</v>
      </c>
      <c r="B61" s="197">
        <f>GETPIVOTDATA("Sum of Old-Tot G SCH Calc",'Pivot Table for Fact Book'!$A$3,"State","VA","type",1,"Type2","Four-Year")</f>
        <v>0</v>
      </c>
      <c r="C61" s="198">
        <f>GETPIVOTDATA("Sum of New-Tot G SCH Calc",'Pivot Table for Fact Book'!$A$3,"State","VA","type",1,"Type2","Four-Year")</f>
        <v>595754.89999999793</v>
      </c>
      <c r="D61" s="197">
        <f>GETPIVOTDATA("Sum of Old-Tot G SCH Calc",'Pivot Table for Fact Book'!$A$3,"State","VA","type",2,"Type2","Four-Year")</f>
        <v>0</v>
      </c>
      <c r="E61" s="198">
        <f>GETPIVOTDATA("Sum of New-Tot G SCH Calc",'Pivot Table for Fact Book'!$A$3,"State","VA","type",2,"Type2","Four-Year")</f>
        <v>200638.5</v>
      </c>
      <c r="F61" s="197">
        <f>GETPIVOTDATA("Sum of Old-Tot G SCH Calc",'Pivot Table for Fact Book'!$A$3,"State","VA","type",3,"Type2","Four-Year")</f>
        <v>0</v>
      </c>
      <c r="G61" s="198">
        <f>GETPIVOTDATA("Sum of New-Tot G SCH Calc",'Pivot Table for Fact Book'!$A$3,"State","VA","type",3,"Type2","Four-Year")</f>
        <v>45429</v>
      </c>
      <c r="H61" s="197">
        <f>GETPIVOTDATA("Sum of Old-Tot G SCH Calc",'Pivot Table for Fact Book'!$A$3,"State","VA","type",4,"Type2","Four-Year")</f>
        <v>0</v>
      </c>
      <c r="I61" s="198">
        <f>GETPIVOTDATA("Sum of New-Tot G SCH Calc",'Pivot Table for Fact Book'!$A$3,"State","VA","type",4,"Type2","Four-Year")</f>
        <v>37702</v>
      </c>
      <c r="J61" s="197">
        <f>GETPIVOTDATA("Sum of Old-Tot G SCH Calc",'Pivot Table for Fact Book'!$A$3,"State","VA","type",5,"Type2","Four-Year")</f>
        <v>0</v>
      </c>
      <c r="K61" s="198">
        <f>GETPIVOTDATA("Sum of New-Tot G SCH Calc",'Pivot Table for Fact Book'!$A$3,"State","VA","type",5,"Type2","Four-Year")</f>
        <v>15072</v>
      </c>
      <c r="L61" s="197">
        <f>GETPIVOTDATA("Sum of Old-Tot G SCH Calc",'Pivot Table for Fact Book'!$A$3,"State","VA","type",6,"Type2","Four-Year")</f>
        <v>0</v>
      </c>
      <c r="M61" s="198">
        <f>GETPIVOTDATA("Sum of New-Tot G SCH Calc",'Pivot Table for Fact Book'!$A$3,"State","VA","type",6,"Type2","Four-Year")</f>
        <v>0</v>
      </c>
      <c r="N61" s="197">
        <f>GETPIVOTDATA("Sum of Old-Tot G SCH Calc",'Pivot Table for Fact Book'!$A$3,"State","VA","type",15,"Type2","Four-Year")</f>
        <v>0</v>
      </c>
      <c r="O61" s="198">
        <f>GETPIVOTDATA("Sum of New-Tot G SCH Calc",'Pivot Table for Fact Book'!$A$3,"State","VA","type",15,"Type2","Four-Year")</f>
        <v>0</v>
      </c>
      <c r="P61" s="199">
        <f>GETPIVOTDATA("Sum of Old-Tot G SCH Calc",'Pivot Table for Fact Book'!$A$3,"State","VA","Type2","Four-Year")</f>
        <v>0</v>
      </c>
      <c r="Q61" s="199">
        <f>GETPIVOTDATA("Sum of New-Tot G SCH Calc",'Pivot Table for Fact Book'!$A$3,"State","VA","Type2","Four-Year")</f>
        <v>894596.39999999793</v>
      </c>
      <c r="R61" s="197">
        <f>GETPIVOTDATA("Sum of Old-Tot G SCH Calc",'Pivot Table for Fact Book'!$A$3,"State","VA","type",7,"Type2","Two-Year")</f>
        <v>0</v>
      </c>
      <c r="S61" s="200">
        <f>GETPIVOTDATA("Sum of New-Tot G SCH Calc",'Pivot Table for Fact Book'!$A$3,"State","VA","type",7,"Type2","Two-Year")</f>
        <v>0</v>
      </c>
      <c r="T61" s="200">
        <f>GETPIVOTDATA("Sum of Old-Tot G SCH Calc",'Pivot Table for Fact Book'!$A$3,"State","VA","type",8,"Type2","Two-Year")</f>
        <v>0</v>
      </c>
      <c r="U61" s="200">
        <f>GETPIVOTDATA("Sum of New-Tot G SCH Calc",'Pivot Table for Fact Book'!$A$3,"State","VA","type",8,"Type2","Two-Year")</f>
        <v>0</v>
      </c>
      <c r="V61" s="200">
        <f>GETPIVOTDATA("Sum of Old-Tot G SCH Calc",'Pivot Table for Fact Book'!$A$3,"State","VA","type",9,"Type2","Two-Year")</f>
        <v>0</v>
      </c>
      <c r="W61" s="200">
        <f>GETPIVOTDATA("Sum of New-Tot G SCH Calc",'Pivot Table for Fact Book'!$A$3,"State","VA","type",9,"Type2","Two-Year")</f>
        <v>0</v>
      </c>
      <c r="X61" s="200">
        <f>GETPIVOTDATA("Sum of Old-Tot G SCH Calc",'Pivot Table for Fact Book'!$A$3,"State","VA","type",10,"Type2","Two-Year")</f>
        <v>0</v>
      </c>
      <c r="Y61" s="200">
        <f>GETPIVOTDATA("Sum of New-Tot G SCH Calc",'Pivot Table for Fact Book'!$A$3,"State","VA","type",10,"Type2","Two-Year")</f>
        <v>0</v>
      </c>
      <c r="Z61" s="201">
        <f>GETPIVOTDATA("Sum of Old-Tot G SCH Calc",'Pivot Table for Fact Book'!$A$3,"State","VA","Type2","Two-Year")</f>
        <v>0</v>
      </c>
      <c r="AA61" s="201">
        <f>GETPIVOTDATA("Sum of New-Tot G SCH Calc",'Pivot Table for Fact Book'!$A$3,"State","VA","Type2","Two-Year")</f>
        <v>0</v>
      </c>
      <c r="AB61" s="197">
        <f>GETPIVOTDATA("Sum of Old-Tot G SCH Calc",'Pivot Table for Fact Book'!$A$3,"State","VA","type",12,"Type2","Technical")</f>
        <v>0</v>
      </c>
      <c r="AC61" s="200">
        <f>GETPIVOTDATA("Sum of New-Tot G SCH Calc",'Pivot Table for Fact Book'!$A$3,"State","VA","type",12,"Type2","Technical")</f>
        <v>0</v>
      </c>
      <c r="AD61" s="200">
        <f>GETPIVOTDATA("Sum of Old-Tot G SCH Calc",'Pivot Table for Fact Book'!$A$3,"State","VA","type",13,"Type2","Technical")</f>
        <v>0</v>
      </c>
      <c r="AE61" s="200">
        <f>GETPIVOTDATA("Sum of New-Tot G SCH Calc",'Pivot Table for Fact Book'!$A$3,"State","VA","type",13,"Type2","Technical")</f>
        <v>0</v>
      </c>
      <c r="AF61" s="203">
        <f>GETPIVOTDATA("Sum of Old-Tot G SCH Calc",'Pivot Table for Fact Book'!$A$3,"State","VA","Type2","Technical")</f>
        <v>0</v>
      </c>
      <c r="AG61" s="203">
        <f>GETPIVOTDATA("Sum of New-Tot G SCH Calc",'Pivot Table for Fact Book'!$A$3,"State","VA","Type2","Technical")</f>
        <v>0</v>
      </c>
      <c r="AH61" s="14"/>
    </row>
    <row r="62" spans="1:34">
      <c r="A62" s="196" t="s">
        <v>190</v>
      </c>
      <c r="B62" s="197">
        <f>GETPIVOTDATA("Sum of Old-Tot G SCH Calc",'Pivot Table for Fact Book'!$A$3,"State","WV","type",1,"Type2","Four-Year")</f>
        <v>112343</v>
      </c>
      <c r="C62" s="198">
        <f>GETPIVOTDATA("Sum of New-Tot G SCH Calc",'Pivot Table for Fact Book'!$A$3,"State","WV","type",1,"Type2","Four-Year")</f>
        <v>112337</v>
      </c>
      <c r="D62" s="197">
        <f>GETPIVOTDATA("Sum of Old-Tot G SCH Calc",'Pivot Table for Fact Book'!$A$3,"State","WV","type",2,"Type2","Four-Year")</f>
        <v>0</v>
      </c>
      <c r="E62" s="198">
        <f>GETPIVOTDATA("Sum of New-Tot G SCH Calc",'Pivot Table for Fact Book'!$A$3,"State","WV","type",2,"Type2","Four-Year")</f>
        <v>0</v>
      </c>
      <c r="F62" s="197">
        <f>GETPIVOTDATA("Sum of Old-Tot G SCH Calc",'Pivot Table for Fact Book'!$A$3,"State","WV","type",3,"Type2","Four-Year")</f>
        <v>55755</v>
      </c>
      <c r="G62" s="198">
        <f>GETPIVOTDATA("Sum of New-Tot G SCH Calc",'Pivot Table for Fact Book'!$A$3,"State","WV","type",3,"Type2","Four-Year")</f>
        <v>55610</v>
      </c>
      <c r="H62" s="197">
        <f>GETPIVOTDATA("Sum of Old-Tot G SCH Calc",'Pivot Table for Fact Book'!$A$3,"State","WV","type",4,"Type2","Four-Year")</f>
        <v>0</v>
      </c>
      <c r="I62" s="198">
        <f>GETPIVOTDATA("Sum of New-Tot G SCH Calc",'Pivot Table for Fact Book'!$A$3,"State","WV","type",4,"Type2","Four-Year")</f>
        <v>0</v>
      </c>
      <c r="J62" s="197">
        <f>GETPIVOTDATA("Sum of Old-Tot G SCH Calc",'Pivot Table for Fact Book'!$A$3,"State","WV","type",5,"Type2","Four-Year")</f>
        <v>9025</v>
      </c>
      <c r="K62" s="198">
        <f>GETPIVOTDATA("Sum of New-Tot G SCH Calc",'Pivot Table for Fact Book'!$A$3,"State","WV","type",5,"Type2","Four-Year")</f>
        <v>8573</v>
      </c>
      <c r="L62" s="197">
        <f>GETPIVOTDATA("Sum of Old-Tot G SCH Calc",'Pivot Table for Fact Book'!$A$3,"State","WV","type",6,"Type2","Four-Year")</f>
        <v>3207</v>
      </c>
      <c r="M62" s="198">
        <f>GETPIVOTDATA("Sum of New-Tot G SCH Calc",'Pivot Table for Fact Book'!$A$3,"State","WV","type",6,"Type2","Four-Year")</f>
        <v>4777</v>
      </c>
      <c r="N62" s="197">
        <f>GETPIVOTDATA("Sum of Old-Tot G SCH Calc",'Pivot Table for Fact Book'!$A$3,"State","WV","type",15,"Type2","Four-Year")</f>
        <v>0</v>
      </c>
      <c r="O62" s="198">
        <f>GETPIVOTDATA("Sum of New-Tot G SCH Calc",'Pivot Table for Fact Book'!$A$3,"State","WV","type",15,"Type2","Four-Year")</f>
        <v>0</v>
      </c>
      <c r="P62" s="199">
        <f>GETPIVOTDATA("Sum of Old-Tot G SCH Calc",'Pivot Table for Fact Book'!$A$3,"State","WV","Type2","Four-Year")</f>
        <v>180330</v>
      </c>
      <c r="Q62" s="199">
        <f>GETPIVOTDATA("Sum of New-Tot G SCH Calc",'Pivot Table for Fact Book'!$A$3,"State","WV","Type2","Four-Year")</f>
        <v>181297</v>
      </c>
      <c r="R62" s="197">
        <f>GETPIVOTDATA("Sum of Old-Tot G SCH Calc",'Pivot Table for Fact Book'!$A$3,"State","WV","type",7,"Type2","Two-Year")</f>
        <v>0</v>
      </c>
      <c r="S62" s="200">
        <f>GETPIVOTDATA("Sum of New-Tot G SCH Calc",'Pivot Table for Fact Book'!$A$3,"State","WV","type",7,"Type2","Two-Year")</f>
        <v>0</v>
      </c>
      <c r="T62" s="200">
        <f>GETPIVOTDATA("Sum of Old-Tot G SCH Calc",'Pivot Table for Fact Book'!$A$3,"State","WV","type",8,"Type2","Two-Year")</f>
        <v>0</v>
      </c>
      <c r="U62" s="200">
        <f>GETPIVOTDATA("Sum of New-Tot G SCH Calc",'Pivot Table for Fact Book'!$A$3,"State","WV","type",8,"Type2","Two-Year")</f>
        <v>0</v>
      </c>
      <c r="V62" s="200">
        <f>GETPIVOTDATA("Sum of Old-Tot G SCH Calc",'Pivot Table for Fact Book'!$A$3,"State","WV","type",9,"Type2","Two-Year")</f>
        <v>0</v>
      </c>
      <c r="W62" s="200">
        <f>GETPIVOTDATA("Sum of New-Tot G SCH Calc",'Pivot Table for Fact Book'!$A$3,"State","WV","type",9,"Type2","Two-Year")</f>
        <v>0</v>
      </c>
      <c r="X62" s="200">
        <f>GETPIVOTDATA("Sum of Old-Tot G SCH Calc",'Pivot Table for Fact Book'!$A$3,"State","WV","type",10,"Type2","Two-Year")</f>
        <v>6</v>
      </c>
      <c r="Y62" s="200">
        <f>GETPIVOTDATA("Sum of New-Tot G SCH Calc",'Pivot Table for Fact Book'!$A$3,"State","WV","type",10,"Type2","Two-Year")</f>
        <v>0</v>
      </c>
      <c r="Z62" s="201">
        <f>GETPIVOTDATA("Sum of Old-Tot G SCH Calc",'Pivot Table for Fact Book'!$A$3,"State","WV","Type2","Two-Year")</f>
        <v>6</v>
      </c>
      <c r="AA62" s="201">
        <f>GETPIVOTDATA("Sum of New-Tot G SCH Calc",'Pivot Table for Fact Book'!$A$3,"State","WV","Type2","Two-Year")</f>
        <v>0</v>
      </c>
      <c r="AB62" s="197">
        <f>GETPIVOTDATA("Sum of Old-Tot G SCH Calc",'Pivot Table for Fact Book'!$A$3,"State","WV","type",12,"Type2","Technical")</f>
        <v>0</v>
      </c>
      <c r="AC62" s="200">
        <f>GETPIVOTDATA("Sum of New-Tot G SCH Calc",'Pivot Table for Fact Book'!$A$3,"State","WV","type",12,"Type2","Technical")</f>
        <v>0</v>
      </c>
      <c r="AD62" s="200">
        <f>GETPIVOTDATA("Sum of Old-Tot G SCH Calc",'Pivot Table for Fact Book'!$A$3,"State","WV","type",13,"Type2","Technical")</f>
        <v>0</v>
      </c>
      <c r="AE62" s="200">
        <f>GETPIVOTDATA("Sum of New-Tot G SCH Calc",'Pivot Table for Fact Book'!$A$3,"State","WV","type",13,"Type2","Technical")</f>
        <v>0</v>
      </c>
      <c r="AF62" s="203">
        <f>GETPIVOTDATA("Sum of Old-Tot G SCH Calc",'Pivot Table for Fact Book'!$A$3,"State","WV","Type2","Technical")</f>
        <v>0</v>
      </c>
      <c r="AG62" s="203">
        <f>GETPIVOTDATA("Sum of New-Tot G SCH Calc",'Pivot Table for Fact Book'!$A$3,"State","WV","Type2","Technical")</f>
        <v>0</v>
      </c>
      <c r="AH62" s="14"/>
    </row>
    <row r="64" spans="1:34">
      <c r="A64" s="62" t="s">
        <v>234</v>
      </c>
    </row>
    <row r="65" spans="1:34">
      <c r="A65" s="15"/>
      <c r="B65" s="181" t="s">
        <v>228</v>
      </c>
      <c r="C65" s="182"/>
      <c r="D65" s="182"/>
      <c r="E65" s="182"/>
      <c r="F65" s="182"/>
      <c r="G65" s="182"/>
      <c r="H65" s="182"/>
      <c r="I65" s="182"/>
      <c r="J65" s="182"/>
      <c r="K65" s="182"/>
      <c r="L65" s="182"/>
      <c r="M65" s="182"/>
      <c r="N65" s="182"/>
      <c r="O65" s="182"/>
      <c r="P65" s="182"/>
      <c r="Q65" s="183"/>
      <c r="R65" s="184" t="s">
        <v>229</v>
      </c>
      <c r="S65" s="185"/>
      <c r="T65" s="185"/>
      <c r="U65" s="185"/>
      <c r="V65" s="185"/>
      <c r="W65" s="185"/>
      <c r="X65" s="185"/>
      <c r="Y65" s="185"/>
      <c r="Z65" s="185"/>
      <c r="AA65" s="186"/>
      <c r="AB65" s="187" t="s">
        <v>230</v>
      </c>
      <c r="AC65" s="188"/>
      <c r="AD65" s="188"/>
      <c r="AE65" s="188"/>
      <c r="AF65" s="188"/>
      <c r="AG65" s="188"/>
    </row>
    <row r="66" spans="1:34">
      <c r="B66" s="189">
        <v>1</v>
      </c>
      <c r="C66" s="190"/>
      <c r="D66" s="189">
        <v>2</v>
      </c>
      <c r="E66" s="190"/>
      <c r="F66" s="189">
        <v>3</v>
      </c>
      <c r="G66" s="190"/>
      <c r="H66" s="189">
        <v>4</v>
      </c>
      <c r="I66" s="190"/>
      <c r="J66" s="189">
        <v>5</v>
      </c>
      <c r="K66" s="190"/>
      <c r="L66" s="189">
        <v>6</v>
      </c>
      <c r="M66" s="190"/>
      <c r="N66" s="189">
        <v>15</v>
      </c>
      <c r="O66" s="190"/>
      <c r="P66" s="189" t="s">
        <v>231</v>
      </c>
      <c r="Q66" s="191"/>
      <c r="R66" s="192">
        <v>7</v>
      </c>
      <c r="S66" s="193"/>
      <c r="T66" s="192">
        <v>8</v>
      </c>
      <c r="U66" s="193"/>
      <c r="V66" s="192">
        <v>9</v>
      </c>
      <c r="W66" s="193"/>
      <c r="X66" s="192">
        <v>10</v>
      </c>
      <c r="Y66" s="193"/>
      <c r="Z66" s="192" t="s">
        <v>231</v>
      </c>
      <c r="AA66" s="193"/>
      <c r="AB66" s="194">
        <v>12</v>
      </c>
      <c r="AC66" s="195"/>
      <c r="AD66" s="194">
        <v>13</v>
      </c>
      <c r="AE66" s="195"/>
      <c r="AF66" s="194" t="s">
        <v>231</v>
      </c>
      <c r="AG66" s="195"/>
    </row>
    <row r="67" spans="1:34">
      <c r="B67" s="324">
        <v>2009</v>
      </c>
      <c r="C67" s="325">
        <v>2010</v>
      </c>
      <c r="D67" s="324">
        <v>2009</v>
      </c>
      <c r="E67" s="325">
        <v>2010</v>
      </c>
      <c r="F67" s="324">
        <v>2009</v>
      </c>
      <c r="G67" s="325">
        <v>2010</v>
      </c>
      <c r="H67" s="324">
        <v>2009</v>
      </c>
      <c r="I67" s="325">
        <v>2010</v>
      </c>
      <c r="J67" s="324">
        <v>2009</v>
      </c>
      <c r="K67" s="325">
        <v>2010</v>
      </c>
      <c r="L67" s="324">
        <v>2009</v>
      </c>
      <c r="M67" s="325">
        <v>2010</v>
      </c>
      <c r="N67" s="324">
        <v>2009</v>
      </c>
      <c r="O67" s="325">
        <v>2010</v>
      </c>
      <c r="P67" s="324">
        <v>2009</v>
      </c>
      <c r="Q67" s="325">
        <v>2010</v>
      </c>
      <c r="R67" s="326">
        <v>2009</v>
      </c>
      <c r="S67" s="327">
        <v>2010</v>
      </c>
      <c r="T67" s="326">
        <v>2009</v>
      </c>
      <c r="U67" s="327">
        <v>2010</v>
      </c>
      <c r="V67" s="326">
        <v>2009</v>
      </c>
      <c r="W67" s="327">
        <v>2010</v>
      </c>
      <c r="X67" s="326">
        <v>2009</v>
      </c>
      <c r="Y67" s="327">
        <v>2010</v>
      </c>
      <c r="Z67" s="326">
        <v>2009</v>
      </c>
      <c r="AA67" s="327">
        <v>2010</v>
      </c>
      <c r="AB67" s="328">
        <v>2009</v>
      </c>
      <c r="AC67" s="329">
        <v>2010</v>
      </c>
      <c r="AD67" s="328">
        <v>2009</v>
      </c>
      <c r="AE67" s="329">
        <v>2010</v>
      </c>
      <c r="AF67" s="328">
        <v>2009</v>
      </c>
      <c r="AG67" s="329">
        <v>2010</v>
      </c>
      <c r="AH67" s="14"/>
    </row>
    <row r="68" spans="1:34">
      <c r="A68" s="196" t="s">
        <v>175</v>
      </c>
      <c r="B68" s="197">
        <f>GETPIVOTDATA("Sum of Old G E-Learning",'Pivot Table for Fact Book'!$A$3,"State","AL","type",1,"Type2","Four-Year")</f>
        <v>26540</v>
      </c>
      <c r="C68" s="198">
        <f>GETPIVOTDATA("Sum of New G E-Learning",'Pivot Table for Fact Book'!$A$3,"State","AL","type",1,"Type2","Four-Year")</f>
        <v>25712</v>
      </c>
      <c r="D68" s="197">
        <f>GETPIVOTDATA("Sum of Old G E-Learning",'Pivot Table for Fact Book'!$A$3,"State","AL","type",2,"Type2","Four-Year")</f>
        <v>3310</v>
      </c>
      <c r="E68" s="198">
        <f>GETPIVOTDATA("Sum of New G E-Learning",'Pivot Table for Fact Book'!$A$3,"State","AL","type",2,"Type2","Four-Year")</f>
        <v>3580</v>
      </c>
      <c r="F68" s="197">
        <f>GETPIVOTDATA("Sum of Old G E-Learning",'Pivot Table for Fact Book'!$A$3,"State","AL","type",3,"Type2","Four-Year")</f>
        <v>28134</v>
      </c>
      <c r="G68" s="198">
        <f>GETPIVOTDATA("Sum of New G E-Learning",'Pivot Table for Fact Book'!$A$3,"State","AL","type",3,"Type2","Four-Year")</f>
        <v>31748</v>
      </c>
      <c r="H68" s="197">
        <f>GETPIVOTDATA("Sum of Old G E-Learning",'Pivot Table for Fact Book'!$A$3,"State","AL","type",4,"Type2","Four-Year")</f>
        <v>10338</v>
      </c>
      <c r="I68" s="198">
        <f>GETPIVOTDATA("Sum of New G E-Learning",'Pivot Table for Fact Book'!$A$3,"State","AL","type",4,"Type2","Four-Year")</f>
        <v>10955</v>
      </c>
      <c r="J68" s="197">
        <f>GETPIVOTDATA("Sum of Old G E-Learning",'Pivot Table for Fact Book'!$A$3,"State","AL","type",5,"Type2","Four-Year")</f>
        <v>44156</v>
      </c>
      <c r="K68" s="198">
        <f>GETPIVOTDATA("Sum of New G E-Learning",'Pivot Table for Fact Book'!$A$3,"State","AL","type",5,"Type2","Four-Year")</f>
        <v>42922</v>
      </c>
      <c r="L68" s="197">
        <f>GETPIVOTDATA("Sum of Old G E-Learning",'Pivot Table for Fact Book'!$A$3,"State","AL","type",6,"Type2","Four-Year")</f>
        <v>0</v>
      </c>
      <c r="M68" s="198">
        <f>GETPIVOTDATA("Sum of New G E-Learning",'Pivot Table for Fact Book'!$A$3,"State","AL","type",6,"Type2","Four-Year")</f>
        <v>0</v>
      </c>
      <c r="N68" s="197">
        <f>GETPIVOTDATA("Sum of Old G E-Learning",'Pivot Table for Fact Book'!$A$3,"State","AL","type",15,"Type2","Four-Year")</f>
        <v>0</v>
      </c>
      <c r="O68" s="198">
        <f>GETPIVOTDATA("Sum of New G E-Learning",'Pivot Table for Fact Book'!$A$3,"State","AL","type",15,"Type2","Four-Year")</f>
        <v>0</v>
      </c>
      <c r="P68" s="199">
        <f>GETPIVOTDATA("Sum of Old G E-Learning",'Pivot Table for Fact Book'!$A$3,"State","AL","Type2","Four-Year")</f>
        <v>112478</v>
      </c>
      <c r="Q68" s="199">
        <f>GETPIVOTDATA("Sum of New G E-Learning",'Pivot Table for Fact Book'!$A$3,"State","AL","Type2","Four-Year")</f>
        <v>114917</v>
      </c>
      <c r="R68" s="197">
        <f>GETPIVOTDATA("Sum of Old G E-Learning",'Pivot Table for Fact Book'!$A$3,"State","AL","type",7,"Type2","Two-Year")</f>
        <v>0</v>
      </c>
      <c r="S68" s="200">
        <f>GETPIVOTDATA("Sum of New G E-Learning",'Pivot Table for Fact Book'!$A$3,"State","AL","type",7,"Type2","Two-Year")</f>
        <v>0</v>
      </c>
      <c r="T68" s="200">
        <f>GETPIVOTDATA("Sum of Old G E-Learning",'Pivot Table for Fact Book'!$A$3,"State","AL","type",8,"Type2","Two-Year")</f>
        <v>0</v>
      </c>
      <c r="U68" s="200">
        <f>GETPIVOTDATA("Sum of New G E-Learning",'Pivot Table for Fact Book'!$A$3,"State","AL","type",8,"Type2","Two-Year")</f>
        <v>0</v>
      </c>
      <c r="V68" s="200">
        <f>GETPIVOTDATA("Sum of Old G E-Learning",'Pivot Table for Fact Book'!$A$3,"State","AL","type",9,"Type2","Two-Year")</f>
        <v>0</v>
      </c>
      <c r="W68" s="200">
        <f>GETPIVOTDATA("Sum of New G E-Learning",'Pivot Table for Fact Book'!$A$3,"State","AL","type",9,"Type2","Two-Year")</f>
        <v>0</v>
      </c>
      <c r="X68" s="200">
        <f>GETPIVOTDATA("Sum of Old G E-Learning",'Pivot Table for Fact Book'!$A$3,"State","AL","type",10,"Type2","Two-Year")</f>
        <v>0</v>
      </c>
      <c r="Y68" s="200">
        <f>GETPIVOTDATA("Sum of New G E-Learning",'Pivot Table for Fact Book'!$A$3,"State","AL","type",10,"Type2","Two-Year")</f>
        <v>0</v>
      </c>
      <c r="Z68" s="201">
        <f>GETPIVOTDATA("Sum of Old G E-Learning",'Pivot Table for Fact Book'!$A$3,"State","AL","Type2","Two-Year")</f>
        <v>0</v>
      </c>
      <c r="AA68" s="201">
        <f>GETPIVOTDATA("Sum of New G E-Learning",'Pivot Table for Fact Book'!$A$3,"State","AL","Type2","Two-Year")</f>
        <v>0</v>
      </c>
      <c r="AB68" s="197">
        <f>GETPIVOTDATA("Sum of Old G E-Learning",'Pivot Table for Fact Book'!$A$3,"State","AL","type",12,"Type2","Technical")</f>
        <v>0</v>
      </c>
      <c r="AC68" s="200">
        <f>GETPIVOTDATA("Sum of New G E-Learning",'Pivot Table for Fact Book'!$A$3,"State","AL","type",12,"Type2","Technical")</f>
        <v>0</v>
      </c>
      <c r="AD68" s="200">
        <f>GETPIVOTDATA("Sum of Old G E-Learning",'Pivot Table for Fact Book'!$A$3,"State","AL","type",13,"Type2","Technical")</f>
        <v>0</v>
      </c>
      <c r="AE68" s="200">
        <f>GETPIVOTDATA("Sum of New G E-Learning",'Pivot Table for Fact Book'!$A$3,"State","AL","type",13,"Type2","Technical")</f>
        <v>0</v>
      </c>
      <c r="AF68" s="203">
        <f>GETPIVOTDATA("Sum of Old G E-Learning",'Pivot Table for Fact Book'!$A$3,"State","AL","Type2","Technical")</f>
        <v>0</v>
      </c>
      <c r="AG68" s="203">
        <f>GETPIVOTDATA("Sum of New G E-Learning",'Pivot Table for Fact Book'!$A$3,"State","AL","Type2","Technical")</f>
        <v>0</v>
      </c>
      <c r="AH68" s="14"/>
    </row>
    <row r="69" spans="1:34">
      <c r="A69" s="196" t="s">
        <v>176</v>
      </c>
      <c r="B69" s="197">
        <f>GETPIVOTDATA("Sum of Old G E-Learning",'Pivot Table for Fact Book'!$A$3,"State","AR","type",1,"Type2","Four-Year")</f>
        <v>13077</v>
      </c>
      <c r="C69" s="198">
        <f>GETPIVOTDATA("Sum of New G E-Learning",'Pivot Table for Fact Book'!$A$3,"State","AR","type",1,"Type2","Four-Year")</f>
        <v>15067</v>
      </c>
      <c r="D69" s="197">
        <f>GETPIVOTDATA("Sum of Old G E-Learning",'Pivot Table for Fact Book'!$A$3,"State","AR","type",2,"Type2","Four-Year")</f>
        <v>0</v>
      </c>
      <c r="E69" s="198">
        <f>GETPIVOTDATA("Sum of New G E-Learning",'Pivot Table for Fact Book'!$A$3,"State","AR","type",2,"Type2","Four-Year")</f>
        <v>0</v>
      </c>
      <c r="F69" s="197">
        <f>GETPIVOTDATA("Sum of Old G E-Learning",'Pivot Table for Fact Book'!$A$3,"State","AR","type",3,"Type2","Four-Year")</f>
        <v>39821</v>
      </c>
      <c r="G69" s="198">
        <f>GETPIVOTDATA("Sum of New G E-Learning",'Pivot Table for Fact Book'!$A$3,"State","AR","type",3,"Type2","Four-Year")</f>
        <v>65000</v>
      </c>
      <c r="H69" s="197">
        <f>GETPIVOTDATA("Sum of Old G E-Learning",'Pivot Table for Fact Book'!$A$3,"State","AR","type",4,"Type2","Four-Year")</f>
        <v>3191</v>
      </c>
      <c r="I69" s="198">
        <f>GETPIVOTDATA("Sum of New G E-Learning",'Pivot Table for Fact Book'!$A$3,"State","AR","type",4,"Type2","Four-Year")</f>
        <v>5316</v>
      </c>
      <c r="J69" s="197">
        <f>GETPIVOTDATA("Sum of Old G E-Learning",'Pivot Table for Fact Book'!$A$3,"State","AR","type",5,"Type2","Four-Year")</f>
        <v>5424</v>
      </c>
      <c r="K69" s="198">
        <f>GETPIVOTDATA("Sum of New G E-Learning",'Pivot Table for Fact Book'!$A$3,"State","AR","type",5,"Type2","Four-Year")</f>
        <v>6380</v>
      </c>
      <c r="L69" s="197">
        <f>GETPIVOTDATA("Sum of Old G E-Learning",'Pivot Table for Fact Book'!$A$3,"State","AR","type",6,"Type2","Four-Year")</f>
        <v>327</v>
      </c>
      <c r="M69" s="198">
        <f>GETPIVOTDATA("Sum of New G E-Learning",'Pivot Table for Fact Book'!$A$3,"State","AR","type",6,"Type2","Four-Year")</f>
        <v>417</v>
      </c>
      <c r="N69" s="197">
        <f>GETPIVOTDATA("Sum of Old G E-Learning",'Pivot Table for Fact Book'!$A$3,"State","AR","type",15,"Type2","Four-Year")</f>
        <v>0</v>
      </c>
      <c r="O69" s="198">
        <f>GETPIVOTDATA("Sum of New G E-Learning",'Pivot Table for Fact Book'!$A$3,"State","AR","type",15,"Type2","Four-Year")</f>
        <v>0</v>
      </c>
      <c r="P69" s="199">
        <f>GETPIVOTDATA("Sum of Old G E-Learning",'Pivot Table for Fact Book'!$A$3,"State","AR","Type2","Four-Year")</f>
        <v>61840</v>
      </c>
      <c r="Q69" s="199">
        <f>GETPIVOTDATA("Sum of New G E-Learning",'Pivot Table for Fact Book'!$A$3,"State","AR","Type2","Four-Year")</f>
        <v>92180</v>
      </c>
      <c r="R69" s="197">
        <f>GETPIVOTDATA("Sum of Old G E-Learning",'Pivot Table for Fact Book'!$A$3,"State","AR","type",7,"Type2","Two-Year")</f>
        <v>0</v>
      </c>
      <c r="S69" s="200">
        <f>GETPIVOTDATA("Sum of New G E-Learning",'Pivot Table for Fact Book'!$A$3,"State","AR","type",7,"Type2","Two-Year")</f>
        <v>0</v>
      </c>
      <c r="T69" s="200">
        <f>GETPIVOTDATA("Sum of Old G E-Learning",'Pivot Table for Fact Book'!$A$3,"State","AR","type",8,"Type2","Two-Year")</f>
        <v>0</v>
      </c>
      <c r="U69" s="200">
        <f>GETPIVOTDATA("Sum of New G E-Learning",'Pivot Table for Fact Book'!$A$3,"State","AR","type",8,"Type2","Two-Year")</f>
        <v>0</v>
      </c>
      <c r="V69" s="200">
        <f>GETPIVOTDATA("Sum of Old G E-Learning",'Pivot Table for Fact Book'!$A$3,"State","AR","type",9,"Type2","Two-Year")</f>
        <v>0</v>
      </c>
      <c r="W69" s="200">
        <f>GETPIVOTDATA("Sum of New G E-Learning",'Pivot Table for Fact Book'!$A$3,"State","AR","type",9,"Type2","Two-Year")</f>
        <v>0</v>
      </c>
      <c r="X69" s="200">
        <f>GETPIVOTDATA("Sum of Old G E-Learning",'Pivot Table for Fact Book'!$A$3,"State","AR","type",10,"Type2","Two-Year")</f>
        <v>0</v>
      </c>
      <c r="Y69" s="200">
        <f>GETPIVOTDATA("Sum of New G E-Learning",'Pivot Table for Fact Book'!$A$3,"State","AR","type",10,"Type2","Two-Year")</f>
        <v>0</v>
      </c>
      <c r="Z69" s="201">
        <f>GETPIVOTDATA("Sum of Old G E-Learning",'Pivot Table for Fact Book'!$A$3,"State","AR","Type2","Two-Year")</f>
        <v>0</v>
      </c>
      <c r="AA69" s="201">
        <f>GETPIVOTDATA("Sum of New G E-Learning",'Pivot Table for Fact Book'!$A$3,"State","AR","Type2","Two-Year")</f>
        <v>0</v>
      </c>
      <c r="AB69" s="197">
        <f>GETPIVOTDATA("Sum of Old G E-Learning",'Pivot Table for Fact Book'!$A$3,"State","AR","type",12,"Type2","Technical")</f>
        <v>0</v>
      </c>
      <c r="AC69" s="200">
        <f>GETPIVOTDATA("Sum of New G E-Learning",'Pivot Table for Fact Book'!$A$3,"State","AR","type",12,"Type2","Technical")</f>
        <v>0</v>
      </c>
      <c r="AD69" s="200">
        <f>GETPIVOTDATA("Sum of Old G E-Learning",'Pivot Table for Fact Book'!$A$3,"State","AR","type",13,"Type2","Technical")</f>
        <v>0</v>
      </c>
      <c r="AE69" s="200">
        <f>GETPIVOTDATA("Sum of New G E-Learning",'Pivot Table for Fact Book'!$A$3,"State","AR","type",13,"Type2","Technical")</f>
        <v>0</v>
      </c>
      <c r="AF69" s="203">
        <f>GETPIVOTDATA("Sum of Old G E-Learning",'Pivot Table for Fact Book'!$A$3,"State","AR","Type2","Technical")</f>
        <v>0</v>
      </c>
      <c r="AG69" s="203">
        <f>GETPIVOTDATA("Sum of New G E-Learning",'Pivot Table for Fact Book'!$A$3,"State","AR","Type2","Technical")</f>
        <v>0</v>
      </c>
      <c r="AH69" s="14"/>
    </row>
    <row r="70" spans="1:34">
      <c r="A70" s="196" t="s">
        <v>177</v>
      </c>
      <c r="B70" s="197">
        <f>GETPIVOTDATA("Sum of Old G E-Learning",'Pivot Table for Fact Book'!$A$3,"State","DE","type",1,"Type2","Four-Year")</f>
        <v>0</v>
      </c>
      <c r="C70" s="198">
        <f>GETPIVOTDATA("Sum of New G E-Learning",'Pivot Table for Fact Book'!$A$3,"State","DE","type",1,"Type2","Four-Year")</f>
        <v>0</v>
      </c>
      <c r="D70" s="197">
        <f>GETPIVOTDATA("Sum of Old G E-Learning",'Pivot Table for Fact Book'!$A$3,"State","DE","type",2,"Type2","Four-Year")</f>
        <v>0</v>
      </c>
      <c r="E70" s="198">
        <f>GETPIVOTDATA("Sum of New G E-Learning",'Pivot Table for Fact Book'!$A$3,"State","DE","type",2,"Type2","Four-Year")</f>
        <v>0</v>
      </c>
      <c r="F70" s="197">
        <f>GETPIVOTDATA("Sum of Old G E-Learning",'Pivot Table for Fact Book'!$A$3,"State","DE","type",3,"Type2","Four-Year")</f>
        <v>0</v>
      </c>
      <c r="G70" s="198">
        <f>GETPIVOTDATA("Sum of New G E-Learning",'Pivot Table for Fact Book'!$A$3,"State","DE","type",3,"Type2","Four-Year")</f>
        <v>0</v>
      </c>
      <c r="H70" s="197">
        <f>GETPIVOTDATA("Sum of Old G E-Learning",'Pivot Table for Fact Book'!$A$3,"State","DE","type",4,"Type2","Four-Year")</f>
        <v>0</v>
      </c>
      <c r="I70" s="198">
        <f>GETPIVOTDATA("Sum of New G E-Learning",'Pivot Table for Fact Book'!$A$3,"State","DE","type",4,"Type2","Four-Year")</f>
        <v>0</v>
      </c>
      <c r="J70" s="197">
        <f>GETPIVOTDATA("Sum of Old G E-Learning",'Pivot Table for Fact Book'!$A$3,"State","DE","type",5,"Type2","Four-Year")</f>
        <v>0</v>
      </c>
      <c r="K70" s="198">
        <f>GETPIVOTDATA("Sum of New G E-Learning",'Pivot Table for Fact Book'!$A$3,"State","DE","type",5,"Type2","Four-Year")</f>
        <v>0</v>
      </c>
      <c r="L70" s="197">
        <f>GETPIVOTDATA("Sum of Old G E-Learning",'Pivot Table for Fact Book'!$A$3,"State","DE","type",6,"Type2","Four-Year")</f>
        <v>0</v>
      </c>
      <c r="M70" s="198">
        <f>GETPIVOTDATA("Sum of New G E-Learning",'Pivot Table for Fact Book'!$A$3,"State","DE","type",6,"Type2","Four-Year")</f>
        <v>0</v>
      </c>
      <c r="N70" s="197">
        <f>GETPIVOTDATA("Sum of Old G E-Learning",'Pivot Table for Fact Book'!$A$3,"State","DE","type",15,"Type2","Four-Year")</f>
        <v>0</v>
      </c>
      <c r="O70" s="198">
        <f>GETPIVOTDATA("Sum of New G E-Learning",'Pivot Table for Fact Book'!$A$3,"State","DE","type",15,"Type2","Four-Year")</f>
        <v>0</v>
      </c>
      <c r="P70" s="199">
        <f>GETPIVOTDATA("Sum of Old G E-Learning",'Pivot Table for Fact Book'!$A$3,"State","DE","Type2","Four-Year")</f>
        <v>0</v>
      </c>
      <c r="Q70" s="199">
        <f>GETPIVOTDATA("Sum of New G E-Learning",'Pivot Table for Fact Book'!$A$3,"State","DE","Type2","Four-Year")</f>
        <v>0</v>
      </c>
      <c r="R70" s="197">
        <f>GETPIVOTDATA("Sum of Old G E-Learning",'Pivot Table for Fact Book'!$A$3,"State","DE","type",7,"Type2","Two-Year")</f>
        <v>0</v>
      </c>
      <c r="S70" s="200">
        <f>GETPIVOTDATA("Sum of New G E-Learning",'Pivot Table for Fact Book'!$A$3,"State","DE","type",7,"Type2","Two-Year")</f>
        <v>0</v>
      </c>
      <c r="T70" s="200">
        <f>GETPIVOTDATA("Sum of Old G E-Learning",'Pivot Table for Fact Book'!$A$3,"State","DE","type",8,"Type2","Two-Year")</f>
        <v>0</v>
      </c>
      <c r="U70" s="200">
        <f>GETPIVOTDATA("Sum of New G E-Learning",'Pivot Table for Fact Book'!$A$3,"State","DE","type",8,"Type2","Two-Year")</f>
        <v>0</v>
      </c>
      <c r="V70" s="200">
        <f>GETPIVOTDATA("Sum of Old G E-Learning",'Pivot Table for Fact Book'!$A$3,"State","DE","type",9,"Type2","Two-Year")</f>
        <v>0</v>
      </c>
      <c r="W70" s="200">
        <f>GETPIVOTDATA("Sum of New G E-Learning",'Pivot Table for Fact Book'!$A$3,"State","DE","type",9,"Type2","Two-Year")</f>
        <v>0</v>
      </c>
      <c r="X70" s="200">
        <f>GETPIVOTDATA("Sum of Old G E-Learning",'Pivot Table for Fact Book'!$A$3,"State","DE","type",10,"Type2","Two-Year")</f>
        <v>0</v>
      </c>
      <c r="Y70" s="200">
        <f>GETPIVOTDATA("Sum of New G E-Learning",'Pivot Table for Fact Book'!$A$3,"State","DE","type",10,"Type2","Two-Year")</f>
        <v>0</v>
      </c>
      <c r="Z70" s="201">
        <f>GETPIVOTDATA("Sum of Old G E-Learning",'Pivot Table for Fact Book'!$A$3,"State","DE","Type2","Two-Year")</f>
        <v>0</v>
      </c>
      <c r="AA70" s="201">
        <f>GETPIVOTDATA("Sum of New G E-Learning",'Pivot Table for Fact Book'!$A$3,"State","DE","Type2","Two-Year")</f>
        <v>0</v>
      </c>
      <c r="AB70" s="197">
        <f>GETPIVOTDATA("Sum of Old G E-Learning",'Pivot Table for Fact Book'!$A$3,"State","DE","type",12,"Type2","Technical")</f>
        <v>0</v>
      </c>
      <c r="AC70" s="200">
        <f>GETPIVOTDATA("Sum of New G E-Learning",'Pivot Table for Fact Book'!$A$3,"State","DE","type",12,"Type2","Technical")</f>
        <v>0</v>
      </c>
      <c r="AD70" s="200">
        <f>GETPIVOTDATA("Sum of Old G E-Learning",'Pivot Table for Fact Book'!$A$3,"State","DE","type",13,"Type2","Technical")</f>
        <v>0</v>
      </c>
      <c r="AE70" s="200">
        <f>GETPIVOTDATA("Sum of New G E-Learning",'Pivot Table for Fact Book'!$A$3,"State","DE","type",13,"Type2","Technical")</f>
        <v>0</v>
      </c>
      <c r="AF70" s="203">
        <f>GETPIVOTDATA("Sum of Old G E-Learning",'Pivot Table for Fact Book'!$A$3,"State","DE","Type2","Technical")</f>
        <v>0</v>
      </c>
      <c r="AG70" s="203">
        <f>GETPIVOTDATA("Sum of New G E-Learning",'Pivot Table for Fact Book'!$A$3,"State","DE","Type2","Technical")</f>
        <v>0</v>
      </c>
      <c r="AH70" s="14"/>
    </row>
    <row r="71" spans="1:34">
      <c r="A71" s="196" t="s">
        <v>178</v>
      </c>
      <c r="B71" s="197">
        <f>GETPIVOTDATA("Sum of Old G E-Learning",'Pivot Table for Fact Book'!$A$3,"State","FL","type",1,"Type2","Four-Year")</f>
        <v>189534</v>
      </c>
      <c r="C71" s="198">
        <f>GETPIVOTDATA("Sum of New G E-Learning",'Pivot Table for Fact Book'!$A$3,"State","FL","type",1,"Type2","Four-Year")</f>
        <v>233454</v>
      </c>
      <c r="D71" s="197">
        <f>GETPIVOTDATA("Sum of Old G E-Learning",'Pivot Table for Fact Book'!$A$3,"State","FL","type",2,"Type2","Four-Year")</f>
        <v>19924</v>
      </c>
      <c r="E71" s="198">
        <f>GETPIVOTDATA("Sum of New G E-Learning",'Pivot Table for Fact Book'!$A$3,"State","FL","type",2,"Type2","Four-Year")</f>
        <v>19659</v>
      </c>
      <c r="F71" s="197">
        <f>GETPIVOTDATA("Sum of Old G E-Learning",'Pivot Table for Fact Book'!$A$3,"State","FL","type",3,"Type2","Four-Year")</f>
        <v>21931</v>
      </c>
      <c r="G71" s="198">
        <f>GETPIVOTDATA("Sum of New G E-Learning",'Pivot Table for Fact Book'!$A$3,"State","FL","type",3,"Type2","Four-Year")</f>
        <v>26241</v>
      </c>
      <c r="H71" s="197">
        <f>GETPIVOTDATA("Sum of Old G E-Learning",'Pivot Table for Fact Book'!$A$3,"State","FL","type",4,"Type2","Four-Year")</f>
        <v>8647</v>
      </c>
      <c r="I71" s="198">
        <f>GETPIVOTDATA("Sum of New G E-Learning",'Pivot Table for Fact Book'!$A$3,"State","FL","type",4,"Type2","Four-Year")</f>
        <v>10149</v>
      </c>
      <c r="J71" s="197">
        <f>GETPIVOTDATA("Sum of Old G E-Learning",'Pivot Table for Fact Book'!$A$3,"State","FL","type",5,"Type2","Four-Year")</f>
        <v>0</v>
      </c>
      <c r="K71" s="198">
        <f>GETPIVOTDATA("Sum of New G E-Learning",'Pivot Table for Fact Book'!$A$3,"State","FL","type",5,"Type2","Four-Year")</f>
        <v>0</v>
      </c>
      <c r="L71" s="197">
        <f>GETPIVOTDATA("Sum of Old G E-Learning",'Pivot Table for Fact Book'!$A$3,"State","FL","type",6,"Type2","Four-Year")</f>
        <v>0</v>
      </c>
      <c r="M71" s="198">
        <f>GETPIVOTDATA("Sum of New G E-Learning",'Pivot Table for Fact Book'!$A$3,"State","FL","type",6,"Type2","Four-Year")</f>
        <v>0</v>
      </c>
      <c r="N71" s="197">
        <f>GETPIVOTDATA("Sum of Old G E-Learning",'Pivot Table for Fact Book'!$A$3,"State","FL","type",15,"Type2","Four-Year")</f>
        <v>0</v>
      </c>
      <c r="O71" s="198">
        <f>GETPIVOTDATA("Sum of New G E-Learning",'Pivot Table for Fact Book'!$A$3,"State","FL","type",15,"Type2","Four-Year")</f>
        <v>0</v>
      </c>
      <c r="P71" s="199">
        <f>GETPIVOTDATA("Sum of Old G E-Learning",'Pivot Table for Fact Book'!$A$3,"State","FL","Type2","Four-Year")</f>
        <v>240036</v>
      </c>
      <c r="Q71" s="199">
        <f>GETPIVOTDATA("Sum of New G E-Learning",'Pivot Table for Fact Book'!$A$3,"State","FL","Type2","Four-Year")</f>
        <v>289503</v>
      </c>
      <c r="R71" s="197">
        <f>GETPIVOTDATA("Sum of Old G E-Learning",'Pivot Table for Fact Book'!$A$3,"State","FL","type",7,"Type2","Two-Year")</f>
        <v>0</v>
      </c>
      <c r="S71" s="200">
        <f>GETPIVOTDATA("Sum of New G E-Learning",'Pivot Table for Fact Book'!$A$3,"State","FL","type",7,"Type2","Two-Year")</f>
        <v>0</v>
      </c>
      <c r="T71" s="200">
        <f>GETPIVOTDATA("Sum of Old G E-Learning",'Pivot Table for Fact Book'!$A$3,"State","FL","type",8,"Type2","Two-Year")</f>
        <v>0</v>
      </c>
      <c r="U71" s="200">
        <f>GETPIVOTDATA("Sum of New G E-Learning",'Pivot Table for Fact Book'!$A$3,"State","FL","type",8,"Type2","Two-Year")</f>
        <v>0</v>
      </c>
      <c r="V71" s="200">
        <f>GETPIVOTDATA("Sum of Old G E-Learning",'Pivot Table for Fact Book'!$A$3,"State","FL","type",9,"Type2","Two-Year")</f>
        <v>0</v>
      </c>
      <c r="W71" s="200">
        <f>GETPIVOTDATA("Sum of New G E-Learning",'Pivot Table for Fact Book'!$A$3,"State","FL","type",9,"Type2","Two-Year")</f>
        <v>0</v>
      </c>
      <c r="X71" s="200">
        <f>GETPIVOTDATA("Sum of Old G E-Learning",'Pivot Table for Fact Book'!$A$3,"State","FL","type",10,"Type2","Two-Year")</f>
        <v>0</v>
      </c>
      <c r="Y71" s="200">
        <f>GETPIVOTDATA("Sum of New G E-Learning",'Pivot Table for Fact Book'!$A$3,"State","FL","type",10,"Type2","Two-Year")</f>
        <v>0</v>
      </c>
      <c r="Z71" s="201">
        <f>GETPIVOTDATA("Sum of Old G E-Learning",'Pivot Table for Fact Book'!$A$3,"State","FL","Type2","Two-Year")</f>
        <v>0</v>
      </c>
      <c r="AA71" s="201">
        <f>GETPIVOTDATA("Sum of New G E-Learning",'Pivot Table for Fact Book'!$A$3,"State","FL","Type2","Two-Year")</f>
        <v>0</v>
      </c>
      <c r="AB71" s="197">
        <f>GETPIVOTDATA("Sum of Old G E-Learning",'Pivot Table for Fact Book'!$A$3,"State","FL","type",12,"Type2","Technical")</f>
        <v>0</v>
      </c>
      <c r="AC71" s="200">
        <f>GETPIVOTDATA("Sum of New G E-Learning",'Pivot Table for Fact Book'!$A$3,"State","FL","type",12,"Type2","Technical")</f>
        <v>0</v>
      </c>
      <c r="AD71" s="200">
        <f>GETPIVOTDATA("Sum of Old G E-Learning",'Pivot Table for Fact Book'!$A$3,"State","FL","type",13,"Type2","Technical")</f>
        <v>0</v>
      </c>
      <c r="AE71" s="200">
        <f>GETPIVOTDATA("Sum of New G E-Learning",'Pivot Table for Fact Book'!$A$3,"State","FL","type",13,"Type2","Technical")</f>
        <v>0</v>
      </c>
      <c r="AF71" s="203">
        <f>GETPIVOTDATA("Sum of Old G E-Learning",'Pivot Table for Fact Book'!$A$3,"State","FL","Type2","Technical")</f>
        <v>0</v>
      </c>
      <c r="AG71" s="203">
        <f>GETPIVOTDATA("Sum of New G E-Learning",'Pivot Table for Fact Book'!$A$3,"State","FL","Type2","Technical")</f>
        <v>0</v>
      </c>
      <c r="AH71" s="14"/>
    </row>
    <row r="72" spans="1:34">
      <c r="A72" s="196" t="s">
        <v>179</v>
      </c>
      <c r="B72" s="197">
        <f>GETPIVOTDATA("Sum of Old G E-Learning",'Pivot Table for Fact Book'!$A$3,"State","GA","type",1,"Type2","Four-Year")</f>
        <v>0</v>
      </c>
      <c r="C72" s="198">
        <f>GETPIVOTDATA("Sum of New G E-Learning",'Pivot Table for Fact Book'!$A$3,"State","GA","type",1,"Type2","Four-Year")</f>
        <v>0</v>
      </c>
      <c r="D72" s="197">
        <f>GETPIVOTDATA("Sum of Old G E-Learning",'Pivot Table for Fact Book'!$A$3,"State","GA","type",2,"Type2","Four-Year")</f>
        <v>0</v>
      </c>
      <c r="E72" s="198">
        <f>GETPIVOTDATA("Sum of New G E-Learning",'Pivot Table for Fact Book'!$A$3,"State","GA","type",2,"Type2","Four-Year")</f>
        <v>0</v>
      </c>
      <c r="F72" s="197">
        <f>GETPIVOTDATA("Sum of Old G E-Learning",'Pivot Table for Fact Book'!$A$3,"State","GA","type",3,"Type2","Four-Year")</f>
        <v>0</v>
      </c>
      <c r="G72" s="198">
        <f>GETPIVOTDATA("Sum of New G E-Learning",'Pivot Table for Fact Book'!$A$3,"State","GA","type",3,"Type2","Four-Year")</f>
        <v>0</v>
      </c>
      <c r="H72" s="197">
        <f>GETPIVOTDATA("Sum of Old G E-Learning",'Pivot Table for Fact Book'!$A$3,"State","GA","type",4,"Type2","Four-Year")</f>
        <v>0</v>
      </c>
      <c r="I72" s="198">
        <f>GETPIVOTDATA("Sum of New G E-Learning",'Pivot Table for Fact Book'!$A$3,"State","GA","type",4,"Type2","Four-Year")</f>
        <v>0</v>
      </c>
      <c r="J72" s="197">
        <f>GETPIVOTDATA("Sum of Old G E-Learning",'Pivot Table for Fact Book'!$A$3,"State","GA","type",5,"Type2","Four-Year")</f>
        <v>0</v>
      </c>
      <c r="K72" s="198">
        <f>GETPIVOTDATA("Sum of New G E-Learning",'Pivot Table for Fact Book'!$A$3,"State","GA","type",5,"Type2","Four-Year")</f>
        <v>0</v>
      </c>
      <c r="L72" s="197">
        <f>GETPIVOTDATA("Sum of Old G E-Learning",'Pivot Table for Fact Book'!$A$3,"State","GA","type",6,"Type2","Four-Year")</f>
        <v>0</v>
      </c>
      <c r="M72" s="198">
        <f>GETPIVOTDATA("Sum of New G E-Learning",'Pivot Table for Fact Book'!$A$3,"State","GA","type",6,"Type2","Four-Year")</f>
        <v>0</v>
      </c>
      <c r="N72" s="197">
        <f>GETPIVOTDATA("Sum of Old G E-Learning",'Pivot Table for Fact Book'!$A$3,"State","GA","type",15,"Type2","Four-Year")</f>
        <v>0</v>
      </c>
      <c r="O72" s="198">
        <f>GETPIVOTDATA("Sum of New G E-Learning",'Pivot Table for Fact Book'!$A$3,"State","GA","type",15,"Type2","Four-Year")</f>
        <v>0</v>
      </c>
      <c r="P72" s="199">
        <f>GETPIVOTDATA("Sum of Old G E-Learning",'Pivot Table for Fact Book'!$A$3,"State","GA","Type2","Four-Year")</f>
        <v>0</v>
      </c>
      <c r="Q72" s="199">
        <f>GETPIVOTDATA("Sum of New G E-Learning",'Pivot Table for Fact Book'!$A$3,"State","GA","Type2","Four-Year")</f>
        <v>0</v>
      </c>
      <c r="R72" s="197">
        <f>GETPIVOTDATA("Sum of Old G E-Learning",'Pivot Table for Fact Book'!$A$3,"State","GA","type",7,"Type2","Two-Year")</f>
        <v>0</v>
      </c>
      <c r="S72" s="200">
        <f>GETPIVOTDATA("Sum of New G E-Learning",'Pivot Table for Fact Book'!$A$3,"State","GA","type",7,"Type2","Two-Year")</f>
        <v>0</v>
      </c>
      <c r="T72" s="200">
        <f>GETPIVOTDATA("Sum of Old G E-Learning",'Pivot Table for Fact Book'!$A$3,"State","GA","type",8,"Type2","Two-Year")</f>
        <v>0</v>
      </c>
      <c r="U72" s="200">
        <f>GETPIVOTDATA("Sum of New G E-Learning",'Pivot Table for Fact Book'!$A$3,"State","GA","type",8,"Type2","Two-Year")</f>
        <v>0</v>
      </c>
      <c r="V72" s="200">
        <f>GETPIVOTDATA("Sum of Old G E-Learning",'Pivot Table for Fact Book'!$A$3,"State","GA","type",9,"Type2","Two-Year")</f>
        <v>0</v>
      </c>
      <c r="W72" s="200">
        <f>GETPIVOTDATA("Sum of New G E-Learning",'Pivot Table for Fact Book'!$A$3,"State","GA","type",9,"Type2","Two-Year")</f>
        <v>0</v>
      </c>
      <c r="X72" s="200">
        <f>GETPIVOTDATA("Sum of Old G E-Learning",'Pivot Table for Fact Book'!$A$3,"State","GA","type",10,"Type2","Two-Year")</f>
        <v>0</v>
      </c>
      <c r="Y72" s="200">
        <f>GETPIVOTDATA("Sum of New G E-Learning",'Pivot Table for Fact Book'!$A$3,"State","GA","type",10,"Type2","Two-Year")</f>
        <v>0</v>
      </c>
      <c r="Z72" s="201">
        <f>GETPIVOTDATA("Sum of Old G E-Learning",'Pivot Table for Fact Book'!$A$3,"State","GA","Type2","Two-Year")</f>
        <v>0</v>
      </c>
      <c r="AA72" s="201">
        <f>GETPIVOTDATA("Sum of New G E-Learning",'Pivot Table for Fact Book'!$A$3,"State","GA","Type2","Two-Year")</f>
        <v>0</v>
      </c>
      <c r="AB72" s="197">
        <f>GETPIVOTDATA("Sum of Old G E-Learning",'Pivot Table for Fact Book'!$A$3,"State","GA","type",12,"Type2","Technical")</f>
        <v>0</v>
      </c>
      <c r="AC72" s="200">
        <f>GETPIVOTDATA("Sum of New G E-Learning",'Pivot Table for Fact Book'!$A$3,"State","GA","type",12,"Type2","Technical")</f>
        <v>0</v>
      </c>
      <c r="AD72" s="200">
        <f>GETPIVOTDATA("Sum of Old G E-Learning",'Pivot Table for Fact Book'!$A$3,"State","GA","type",13,"Type2","Technical")</f>
        <v>0</v>
      </c>
      <c r="AE72" s="200">
        <f>GETPIVOTDATA("Sum of New G E-Learning",'Pivot Table for Fact Book'!$A$3,"State","GA","type",13,"Type2","Technical")</f>
        <v>0</v>
      </c>
      <c r="AF72" s="203">
        <f>GETPIVOTDATA("Sum of Old G E-Learning",'Pivot Table for Fact Book'!$A$3,"State","GA","Type2","Technical")</f>
        <v>0</v>
      </c>
      <c r="AG72" s="203">
        <f>GETPIVOTDATA("Sum of New G E-Learning",'Pivot Table for Fact Book'!$A$3,"State","GA","Type2","Technical")</f>
        <v>0</v>
      </c>
      <c r="AH72" s="14"/>
    </row>
    <row r="73" spans="1:34">
      <c r="A73" s="196" t="s">
        <v>180</v>
      </c>
      <c r="B73" s="197">
        <f>GETPIVOTDATA("Sum of Old G E-Learning",'Pivot Table for Fact Book'!$A$3,"State","KY","type",1,"Type2","Four-Year")</f>
        <v>8328</v>
      </c>
      <c r="C73" s="198">
        <f>GETPIVOTDATA("Sum of New G E-Learning",'Pivot Table for Fact Book'!$A$3,"State","KY","type",1,"Type2","Four-Year")</f>
        <v>12517</v>
      </c>
      <c r="D73" s="197">
        <f>GETPIVOTDATA("Sum of Old G E-Learning",'Pivot Table for Fact Book'!$A$3,"State","KY","type",2,"Type2","Four-Year")</f>
        <v>0</v>
      </c>
      <c r="E73" s="198">
        <f>GETPIVOTDATA("Sum of New G E-Learning",'Pivot Table for Fact Book'!$A$3,"State","KY","type",2,"Type2","Four-Year")</f>
        <v>0</v>
      </c>
      <c r="F73" s="197">
        <f>GETPIVOTDATA("Sum of Old G E-Learning",'Pivot Table for Fact Book'!$A$3,"State","KY","type",3,"Type2","Four-Year")</f>
        <v>50706</v>
      </c>
      <c r="G73" s="198">
        <f>GETPIVOTDATA("Sum of New G E-Learning",'Pivot Table for Fact Book'!$A$3,"State","KY","type",3,"Type2","Four-Year")</f>
        <v>59381</v>
      </c>
      <c r="H73" s="197">
        <f>GETPIVOTDATA("Sum of Old G E-Learning",'Pivot Table for Fact Book'!$A$3,"State","KY","type",4,"Type2","Four-Year")</f>
        <v>7824</v>
      </c>
      <c r="I73" s="198">
        <f>GETPIVOTDATA("Sum of New G E-Learning",'Pivot Table for Fact Book'!$A$3,"State","KY","type",4,"Type2","Four-Year")</f>
        <v>8996</v>
      </c>
      <c r="J73" s="197">
        <f>GETPIVOTDATA("Sum of Old G E-Learning",'Pivot Table for Fact Book'!$A$3,"State","KY","type",5,"Type2","Four-Year")</f>
        <v>0</v>
      </c>
      <c r="K73" s="198">
        <f>GETPIVOTDATA("Sum of New G E-Learning",'Pivot Table for Fact Book'!$A$3,"State","KY","type",5,"Type2","Four-Year")</f>
        <v>0</v>
      </c>
      <c r="L73" s="197">
        <f>GETPIVOTDATA("Sum of Old G E-Learning",'Pivot Table for Fact Book'!$A$3,"State","KY","type",6,"Type2","Four-Year")</f>
        <v>0</v>
      </c>
      <c r="M73" s="198">
        <f>GETPIVOTDATA("Sum of New G E-Learning",'Pivot Table for Fact Book'!$A$3,"State","KY","type",6,"Type2","Four-Year")</f>
        <v>0</v>
      </c>
      <c r="N73" s="197">
        <f>GETPIVOTDATA("Sum of Old G E-Learning",'Pivot Table for Fact Book'!$A$3,"State","KY","type",15,"Type2","Four-Year")</f>
        <v>0</v>
      </c>
      <c r="O73" s="198">
        <f>GETPIVOTDATA("Sum of New G E-Learning",'Pivot Table for Fact Book'!$A$3,"State","KY","type",15,"Type2","Four-Year")</f>
        <v>0</v>
      </c>
      <c r="P73" s="199">
        <f>GETPIVOTDATA("Sum of Old G E-Learning",'Pivot Table for Fact Book'!$A$3,"State","KY","Type2","Four-Year")</f>
        <v>66858</v>
      </c>
      <c r="Q73" s="199">
        <f>GETPIVOTDATA("Sum of New G E-Learning",'Pivot Table for Fact Book'!$A$3,"State","KY","Type2","Four-Year")</f>
        <v>80894</v>
      </c>
      <c r="R73" s="197">
        <f>GETPIVOTDATA("Sum of Old G E-Learning",'Pivot Table for Fact Book'!$A$3,"State","KY","type",7,"Type2","Two-Year")</f>
        <v>0</v>
      </c>
      <c r="S73" s="200">
        <f>GETPIVOTDATA("Sum of New G E-Learning",'Pivot Table for Fact Book'!$A$3,"State","KY","type",7,"Type2","Two-Year")</f>
        <v>0</v>
      </c>
      <c r="T73" s="200">
        <f>GETPIVOTDATA("Sum of Old G E-Learning",'Pivot Table for Fact Book'!$A$3,"State","KY","type",8,"Type2","Two-Year")</f>
        <v>0</v>
      </c>
      <c r="U73" s="200">
        <f>GETPIVOTDATA("Sum of New G E-Learning",'Pivot Table for Fact Book'!$A$3,"State","KY","type",8,"Type2","Two-Year")</f>
        <v>0</v>
      </c>
      <c r="V73" s="200">
        <f>GETPIVOTDATA("Sum of Old G E-Learning",'Pivot Table for Fact Book'!$A$3,"State","KY","type",9,"Type2","Two-Year")</f>
        <v>0</v>
      </c>
      <c r="W73" s="200">
        <f>GETPIVOTDATA("Sum of New G E-Learning",'Pivot Table for Fact Book'!$A$3,"State","KY","type",9,"Type2","Two-Year")</f>
        <v>0</v>
      </c>
      <c r="X73" s="200">
        <f>GETPIVOTDATA("Sum of Old G E-Learning",'Pivot Table for Fact Book'!$A$3,"State","KY","type",10,"Type2","Two-Year")</f>
        <v>0</v>
      </c>
      <c r="Y73" s="200">
        <f>GETPIVOTDATA("Sum of New G E-Learning",'Pivot Table for Fact Book'!$A$3,"State","KY","type",10,"Type2","Two-Year")</f>
        <v>0</v>
      </c>
      <c r="Z73" s="201">
        <f>GETPIVOTDATA("Sum of Old G E-Learning",'Pivot Table for Fact Book'!$A$3,"State","KY","Type2","Two-Year")</f>
        <v>0</v>
      </c>
      <c r="AA73" s="201">
        <f>GETPIVOTDATA("Sum of New G E-Learning",'Pivot Table for Fact Book'!$A$3,"State","KY","Type2","Two-Year")</f>
        <v>0</v>
      </c>
      <c r="AB73" s="197">
        <f>GETPIVOTDATA("Sum of Old G E-Learning",'Pivot Table for Fact Book'!$A$3,"State","KY","type",12,"Type2","Technical")</f>
        <v>0</v>
      </c>
      <c r="AC73" s="200">
        <f>GETPIVOTDATA("Sum of New G E-Learning",'Pivot Table for Fact Book'!$A$3,"State","KY","type",12,"Type2","Technical")</f>
        <v>0</v>
      </c>
      <c r="AD73" s="200">
        <f>GETPIVOTDATA("Sum of Old G E-Learning",'Pivot Table for Fact Book'!$A$3,"State","KY","type",13,"Type2","Technical")</f>
        <v>0</v>
      </c>
      <c r="AE73" s="200">
        <f>GETPIVOTDATA("Sum of New G E-Learning",'Pivot Table for Fact Book'!$A$3,"State","KY","type",13,"Type2","Technical")</f>
        <v>0</v>
      </c>
      <c r="AF73" s="203">
        <f>GETPIVOTDATA("Sum of Old G E-Learning",'Pivot Table for Fact Book'!$A$3,"State","KY","Type2","Technical")</f>
        <v>0</v>
      </c>
      <c r="AG73" s="203">
        <f>GETPIVOTDATA("Sum of New G E-Learning",'Pivot Table for Fact Book'!$A$3,"State","KY","Type2","Technical")</f>
        <v>0</v>
      </c>
      <c r="AH73" s="14"/>
    </row>
    <row r="74" spans="1:34">
      <c r="A74" s="196" t="s">
        <v>181</v>
      </c>
      <c r="B74" s="197">
        <f>GETPIVOTDATA("Sum of Old G E-Learning",'Pivot Table for Fact Book'!$A$3,"State","LA","type",1,"Type2","Four-Year")</f>
        <v>0</v>
      </c>
      <c r="C74" s="198">
        <f>GETPIVOTDATA("Sum of New G E-Learning",'Pivot Table for Fact Book'!$A$3,"State","LA","type",1,"Type2","Four-Year")</f>
        <v>0</v>
      </c>
      <c r="D74" s="197">
        <f>GETPIVOTDATA("Sum of Old G E-Learning",'Pivot Table for Fact Book'!$A$3,"State","LA","type",2,"Type2","Four-Year")</f>
        <v>0</v>
      </c>
      <c r="E74" s="198">
        <f>GETPIVOTDATA("Sum of New G E-Learning",'Pivot Table for Fact Book'!$A$3,"State","LA","type",2,"Type2","Four-Year")</f>
        <v>0</v>
      </c>
      <c r="F74" s="197">
        <f>GETPIVOTDATA("Sum of Old G E-Learning",'Pivot Table for Fact Book'!$A$3,"State","LA","type",3,"Type2","Four-Year")</f>
        <v>0</v>
      </c>
      <c r="G74" s="198">
        <f>GETPIVOTDATA("Sum of New G E-Learning",'Pivot Table for Fact Book'!$A$3,"State","LA","type",3,"Type2","Four-Year")</f>
        <v>0</v>
      </c>
      <c r="H74" s="197">
        <f>GETPIVOTDATA("Sum of Old G E-Learning",'Pivot Table for Fact Book'!$A$3,"State","LA","type",4,"Type2","Four-Year")</f>
        <v>0</v>
      </c>
      <c r="I74" s="198">
        <f>GETPIVOTDATA("Sum of New G E-Learning",'Pivot Table for Fact Book'!$A$3,"State","LA","type",4,"Type2","Four-Year")</f>
        <v>0</v>
      </c>
      <c r="J74" s="197">
        <f>GETPIVOTDATA("Sum of Old G E-Learning",'Pivot Table for Fact Book'!$A$3,"State","LA","type",5,"Type2","Four-Year")</f>
        <v>0</v>
      </c>
      <c r="K74" s="198">
        <f>GETPIVOTDATA("Sum of New G E-Learning",'Pivot Table for Fact Book'!$A$3,"State","LA","type",5,"Type2","Four-Year")</f>
        <v>0</v>
      </c>
      <c r="L74" s="197">
        <f>GETPIVOTDATA("Sum of Old G E-Learning",'Pivot Table for Fact Book'!$A$3,"State","LA","type",6,"Type2","Four-Year")</f>
        <v>0</v>
      </c>
      <c r="M74" s="198">
        <f>GETPIVOTDATA("Sum of New G E-Learning",'Pivot Table for Fact Book'!$A$3,"State","LA","type",6,"Type2","Four-Year")</f>
        <v>0</v>
      </c>
      <c r="N74" s="197">
        <f>GETPIVOTDATA("Sum of Old G E-Learning",'Pivot Table for Fact Book'!$A$3,"State","LA","type",15,"Type2","Four-Year")</f>
        <v>0</v>
      </c>
      <c r="O74" s="198">
        <f>GETPIVOTDATA("Sum of New G E-Learning",'Pivot Table for Fact Book'!$A$3,"State","LA","type",15,"Type2","Four-Year")</f>
        <v>0</v>
      </c>
      <c r="P74" s="199">
        <f>GETPIVOTDATA("Sum of Old G E-Learning",'Pivot Table for Fact Book'!$A$3,"State","LA","Type2","Four-Year")</f>
        <v>0</v>
      </c>
      <c r="Q74" s="199">
        <f>GETPIVOTDATA("Sum of New G E-Learning",'Pivot Table for Fact Book'!$A$3,"State","LA","Type2","Four-Year")</f>
        <v>0</v>
      </c>
      <c r="R74" s="197">
        <f>GETPIVOTDATA("Sum of Old G E-Learning",'Pivot Table for Fact Book'!$A$3,"State","LA","type",7,"Type2","Two-Year")</f>
        <v>0</v>
      </c>
      <c r="S74" s="200">
        <f>GETPIVOTDATA("Sum of New G E-Learning",'Pivot Table for Fact Book'!$A$3,"State","LA","type",7,"Type2","Two-Year")</f>
        <v>0</v>
      </c>
      <c r="T74" s="200">
        <f>GETPIVOTDATA("Sum of Old G E-Learning",'Pivot Table for Fact Book'!$A$3,"State","LA","type",8,"Type2","Two-Year")</f>
        <v>0</v>
      </c>
      <c r="U74" s="200">
        <f>GETPIVOTDATA("Sum of New G E-Learning",'Pivot Table for Fact Book'!$A$3,"State","LA","type",8,"Type2","Two-Year")</f>
        <v>0</v>
      </c>
      <c r="V74" s="200">
        <f>GETPIVOTDATA("Sum of Old G E-Learning",'Pivot Table for Fact Book'!$A$3,"State","LA","type",9,"Type2","Two-Year")</f>
        <v>0</v>
      </c>
      <c r="W74" s="200">
        <f>GETPIVOTDATA("Sum of New G E-Learning",'Pivot Table for Fact Book'!$A$3,"State","LA","type",9,"Type2","Two-Year")</f>
        <v>0</v>
      </c>
      <c r="X74" s="200">
        <f>GETPIVOTDATA("Sum of Old G E-Learning",'Pivot Table for Fact Book'!$A$3,"State","LA","type",10,"Type2","Two-Year")</f>
        <v>0</v>
      </c>
      <c r="Y74" s="200">
        <f>GETPIVOTDATA("Sum of New G E-Learning",'Pivot Table for Fact Book'!$A$3,"State","LA","type",10,"Type2","Two-Year")</f>
        <v>0</v>
      </c>
      <c r="Z74" s="201">
        <f>GETPIVOTDATA("Sum of Old G E-Learning",'Pivot Table for Fact Book'!$A$3,"State","LA","Type2","Two-Year")</f>
        <v>0</v>
      </c>
      <c r="AA74" s="201">
        <f>GETPIVOTDATA("Sum of New G E-Learning",'Pivot Table for Fact Book'!$A$3,"State","LA","Type2","Two-Year")</f>
        <v>0</v>
      </c>
      <c r="AB74" s="197">
        <f>GETPIVOTDATA("Sum of Old G E-Learning",'Pivot Table for Fact Book'!$A$3,"State","LA","type",12,"Type2","Technical")</f>
        <v>0</v>
      </c>
      <c r="AC74" s="200">
        <f>GETPIVOTDATA("Sum of New G E-Learning",'Pivot Table for Fact Book'!$A$3,"State","LA","type",12,"Type2","Technical")</f>
        <v>0</v>
      </c>
      <c r="AD74" s="200">
        <f>GETPIVOTDATA("Sum of Old G E-Learning",'Pivot Table for Fact Book'!$A$3,"State","LA","type",13,"Type2","Technical")</f>
        <v>0</v>
      </c>
      <c r="AE74" s="200">
        <f>GETPIVOTDATA("Sum of New G E-Learning",'Pivot Table for Fact Book'!$A$3,"State","LA","type",13,"Type2","Technical")</f>
        <v>0</v>
      </c>
      <c r="AF74" s="203">
        <f>GETPIVOTDATA("Sum of Old G E-Learning",'Pivot Table for Fact Book'!$A$3,"State","LA","Type2","Technical")</f>
        <v>0</v>
      </c>
      <c r="AG74" s="203">
        <f>GETPIVOTDATA("Sum of New G E-Learning",'Pivot Table for Fact Book'!$A$3,"State","LA","Type2","Technical")</f>
        <v>0</v>
      </c>
      <c r="AH74" s="14"/>
    </row>
    <row r="75" spans="1:34">
      <c r="A75" s="196" t="s">
        <v>222</v>
      </c>
      <c r="B75" s="197">
        <f>GETPIVOTDATA("Sum of Old G E-Learning",'Pivot Table for Fact Book'!$A$3,"State","MD","type",1,"Type2","Four-Year")</f>
        <v>5827</v>
      </c>
      <c r="C75" s="198">
        <f>GETPIVOTDATA("Sum of New G E-Learning",'Pivot Table for Fact Book'!$A$3,"State","MD","type",1,"Type2","Four-Year")</f>
        <v>6383</v>
      </c>
      <c r="D75" s="197">
        <f>GETPIVOTDATA("Sum of Old G E-Learning",'Pivot Table for Fact Book'!$A$3,"State","MD","type",2,"Type2","Four-Year")</f>
        <v>5429</v>
      </c>
      <c r="E75" s="198">
        <f>GETPIVOTDATA("Sum of New G E-Learning",'Pivot Table for Fact Book'!$A$3,"State","MD","type",2,"Type2","Four-Year")</f>
        <v>6006</v>
      </c>
      <c r="F75" s="197">
        <f>GETPIVOTDATA("Sum of Old G E-Learning",'Pivot Table for Fact Book'!$A$3,"State","MD","type",3,"Type2","Four-Year")</f>
        <v>4693</v>
      </c>
      <c r="G75" s="198">
        <f>GETPIVOTDATA("Sum of New G E-Learning",'Pivot Table for Fact Book'!$A$3,"State","MD","type",3,"Type2","Four-Year")</f>
        <v>6809</v>
      </c>
      <c r="H75" s="197">
        <f>GETPIVOTDATA("Sum of Old G E-Learning",'Pivot Table for Fact Book'!$A$3,"State","MD","type",4,"Type2","Four-Year")</f>
        <v>15138</v>
      </c>
      <c r="I75" s="198">
        <f>GETPIVOTDATA("Sum of New G E-Learning",'Pivot Table for Fact Book'!$A$3,"State","MD","type",4,"Type2","Four-Year")</f>
        <v>97724</v>
      </c>
      <c r="J75" s="197">
        <f>GETPIVOTDATA("Sum of Old G E-Learning",'Pivot Table for Fact Book'!$A$3,"State","MD","type",5,"Type2","Four-Year")</f>
        <v>0</v>
      </c>
      <c r="K75" s="198">
        <f>GETPIVOTDATA("Sum of New G E-Learning",'Pivot Table for Fact Book'!$A$3,"State","MD","type",5,"Type2","Four-Year")</f>
        <v>0</v>
      </c>
      <c r="L75" s="197">
        <f>GETPIVOTDATA("Sum of Old G E-Learning",'Pivot Table for Fact Book'!$A$3,"State","MD","type",6,"Type2","Four-Year")</f>
        <v>0</v>
      </c>
      <c r="M75" s="198">
        <f>GETPIVOTDATA("Sum of New G E-Learning",'Pivot Table for Fact Book'!$A$3,"State","MD","type",6,"Type2","Four-Year")</f>
        <v>0</v>
      </c>
      <c r="N75" s="197">
        <f>GETPIVOTDATA("Sum of Old G E-Learning",'Pivot Table for Fact Book'!$A$3,"State","MD","type",15,"Type2","Four-Year")</f>
        <v>154415</v>
      </c>
      <c r="O75" s="198">
        <f>GETPIVOTDATA("Sum of New G E-Learning",'Pivot Table for Fact Book'!$A$3,"State","MD","type",15,"Type2","Four-Year")</f>
        <v>173875</v>
      </c>
      <c r="P75" s="199">
        <f>GETPIVOTDATA("Sum of Old G E-Learning",'Pivot Table for Fact Book'!$A$3,"State","MD","Type2","Four-Year")</f>
        <v>185502</v>
      </c>
      <c r="Q75" s="199">
        <f>GETPIVOTDATA("Sum of New G E-Learning",'Pivot Table for Fact Book'!$A$3,"State","MD","Type2","Four-Year")</f>
        <v>290797</v>
      </c>
      <c r="R75" s="197">
        <f>GETPIVOTDATA("Sum of Old G E-Learning",'Pivot Table for Fact Book'!$A$3,"State","MD","type",7,"Type2","Two-Year")</f>
        <v>0</v>
      </c>
      <c r="S75" s="200">
        <f>GETPIVOTDATA("Sum of New G E-Learning",'Pivot Table for Fact Book'!$A$3,"State","MD","type",7,"Type2","Two-Year")</f>
        <v>0</v>
      </c>
      <c r="T75" s="200">
        <f>GETPIVOTDATA("Sum of Old G E-Learning",'Pivot Table for Fact Book'!$A$3,"State","MD","type",8,"Type2","Two-Year")</f>
        <v>0</v>
      </c>
      <c r="U75" s="200">
        <f>GETPIVOTDATA("Sum of New G E-Learning",'Pivot Table for Fact Book'!$A$3,"State","MD","type",8,"Type2","Two-Year")</f>
        <v>0</v>
      </c>
      <c r="V75" s="200">
        <f>GETPIVOTDATA("Sum of Old G E-Learning",'Pivot Table for Fact Book'!$A$3,"State","MD","type",9,"Type2","Two-Year")</f>
        <v>0</v>
      </c>
      <c r="W75" s="200">
        <f>GETPIVOTDATA("Sum of New G E-Learning",'Pivot Table for Fact Book'!$A$3,"State","MD","type",9,"Type2","Two-Year")</f>
        <v>0</v>
      </c>
      <c r="X75" s="200">
        <f>GETPIVOTDATA("Sum of Old G E-Learning",'Pivot Table for Fact Book'!$A$3,"State","MD","type",10,"Type2","Two-Year")</f>
        <v>0</v>
      </c>
      <c r="Y75" s="200">
        <f>GETPIVOTDATA("Sum of New G E-Learning",'Pivot Table for Fact Book'!$A$3,"State","MD","type",10,"Type2","Two-Year")</f>
        <v>0</v>
      </c>
      <c r="Z75" s="201">
        <f>GETPIVOTDATA("Sum of Old G E-Learning",'Pivot Table for Fact Book'!$A$3,"State","MD","Type2","Two-Year")</f>
        <v>0</v>
      </c>
      <c r="AA75" s="201">
        <f>GETPIVOTDATA("Sum of New G E-Learning",'Pivot Table for Fact Book'!$A$3,"State","MD","Type2","Two-Year")</f>
        <v>0</v>
      </c>
      <c r="AB75" s="197">
        <f>GETPIVOTDATA("Sum of Old G E-Learning",'Pivot Table for Fact Book'!$A$3,"State","MD","type",12,"Type2","Technical")</f>
        <v>0</v>
      </c>
      <c r="AC75" s="200">
        <f>GETPIVOTDATA("Sum of New G E-Learning",'Pivot Table for Fact Book'!$A$3,"State","MD","type",12,"Type2","Technical")</f>
        <v>0</v>
      </c>
      <c r="AD75" s="200">
        <f>GETPIVOTDATA("Sum of Old G E-Learning",'Pivot Table for Fact Book'!$A$3,"State","MD","type",13,"Type2","Technical")</f>
        <v>0</v>
      </c>
      <c r="AE75" s="200">
        <f>GETPIVOTDATA("Sum of New G E-Learning",'Pivot Table for Fact Book'!$A$3,"State","MD","type",13,"Type2","Technical")</f>
        <v>0</v>
      </c>
      <c r="AF75" s="203">
        <f>GETPIVOTDATA("Sum of Old G E-Learning",'Pivot Table for Fact Book'!$A$3,"State","MD","Type2","Technical")</f>
        <v>0</v>
      </c>
      <c r="AG75" s="203">
        <f>GETPIVOTDATA("Sum of New G E-Learning",'Pivot Table for Fact Book'!$A$3,"State","MD","Type2","Technical")</f>
        <v>0</v>
      </c>
      <c r="AH75" s="14"/>
    </row>
    <row r="76" spans="1:34">
      <c r="A76" s="196" t="s">
        <v>183</v>
      </c>
      <c r="B76" s="197">
        <f>GETPIVOTDATA("Sum of Old G E-Learning",'Pivot Table for Fact Book'!$A$3,"State","MS","type",1,"Type2","Four-Year")</f>
        <v>24277</v>
      </c>
      <c r="C76" s="198">
        <f>GETPIVOTDATA("Sum of New G E-Learning",'Pivot Table for Fact Book'!$A$3,"State","MS","type",1,"Type2","Four-Year")</f>
        <v>30146</v>
      </c>
      <c r="D76" s="197">
        <f>GETPIVOTDATA("Sum of Old G E-Learning",'Pivot Table for Fact Book'!$A$3,"State","MS","type",2,"Type2","Four-Year")</f>
        <v>3679</v>
      </c>
      <c r="E76" s="198">
        <f>GETPIVOTDATA("Sum of New G E-Learning",'Pivot Table for Fact Book'!$A$3,"State","MS","type",2,"Type2","Four-Year")</f>
        <v>3482</v>
      </c>
      <c r="F76" s="197">
        <f>GETPIVOTDATA("Sum of Old G E-Learning",'Pivot Table for Fact Book'!$A$3,"State","MS","type",3,"Type2","Four-Year")</f>
        <v>0</v>
      </c>
      <c r="G76" s="198">
        <f>GETPIVOTDATA("Sum of New G E-Learning",'Pivot Table for Fact Book'!$A$3,"State","MS","type",3,"Type2","Four-Year")</f>
        <v>0</v>
      </c>
      <c r="H76" s="197">
        <f>GETPIVOTDATA("Sum of Old G E-Learning",'Pivot Table for Fact Book'!$A$3,"State","MS","type",4,"Type2","Four-Year")</f>
        <v>11082</v>
      </c>
      <c r="I76" s="198">
        <f>GETPIVOTDATA("Sum of New G E-Learning",'Pivot Table for Fact Book'!$A$3,"State","MS","type",4,"Type2","Four-Year")</f>
        <v>15119</v>
      </c>
      <c r="J76" s="197">
        <f>GETPIVOTDATA("Sum of Old G E-Learning",'Pivot Table for Fact Book'!$A$3,"State","MS","type",5,"Type2","Four-Year")</f>
        <v>1221</v>
      </c>
      <c r="K76" s="198">
        <f>GETPIVOTDATA("Sum of New G E-Learning",'Pivot Table for Fact Book'!$A$3,"State","MS","type",5,"Type2","Four-Year")</f>
        <v>1239</v>
      </c>
      <c r="L76" s="197">
        <f>GETPIVOTDATA("Sum of Old G E-Learning",'Pivot Table for Fact Book'!$A$3,"State","MS","type",6,"Type2","Four-Year")</f>
        <v>0</v>
      </c>
      <c r="M76" s="198">
        <f>GETPIVOTDATA("Sum of New G E-Learning",'Pivot Table for Fact Book'!$A$3,"State","MS","type",6,"Type2","Four-Year")</f>
        <v>0</v>
      </c>
      <c r="N76" s="197">
        <f>GETPIVOTDATA("Sum of Old G E-Learning",'Pivot Table for Fact Book'!$A$3,"State","MS","type",15,"Type2","Four-Year")</f>
        <v>0</v>
      </c>
      <c r="O76" s="198">
        <f>GETPIVOTDATA("Sum of New G E-Learning",'Pivot Table for Fact Book'!$A$3,"State","MS","type",15,"Type2","Four-Year")</f>
        <v>0</v>
      </c>
      <c r="P76" s="199">
        <f>GETPIVOTDATA("Sum of Old G E-Learning",'Pivot Table for Fact Book'!$A$3,"State","MS","Type2","Four-Year")</f>
        <v>40259</v>
      </c>
      <c r="Q76" s="199">
        <f>GETPIVOTDATA("Sum of New G E-Learning",'Pivot Table for Fact Book'!$A$3,"State","MS","Type2","Four-Year")</f>
        <v>49986</v>
      </c>
      <c r="R76" s="197">
        <f>GETPIVOTDATA("Sum of Old G E-Learning",'Pivot Table for Fact Book'!$A$3,"State","MS","type",7,"Type2","Two-Year")</f>
        <v>0</v>
      </c>
      <c r="S76" s="200">
        <f>GETPIVOTDATA("Sum of New G E-Learning",'Pivot Table for Fact Book'!$A$3,"State","MS","type",7,"Type2","Two-Year")</f>
        <v>0</v>
      </c>
      <c r="T76" s="200">
        <f>GETPIVOTDATA("Sum of Old G E-Learning",'Pivot Table for Fact Book'!$A$3,"State","MS","type",8,"Type2","Two-Year")</f>
        <v>0</v>
      </c>
      <c r="U76" s="200">
        <f>GETPIVOTDATA("Sum of New G E-Learning",'Pivot Table for Fact Book'!$A$3,"State","MS","type",8,"Type2","Two-Year")</f>
        <v>0</v>
      </c>
      <c r="V76" s="200">
        <f>GETPIVOTDATA("Sum of Old G E-Learning",'Pivot Table for Fact Book'!$A$3,"State","MS","type",9,"Type2","Two-Year")</f>
        <v>0</v>
      </c>
      <c r="W76" s="200">
        <f>GETPIVOTDATA("Sum of New G E-Learning",'Pivot Table for Fact Book'!$A$3,"State","MS","type",9,"Type2","Two-Year")</f>
        <v>0</v>
      </c>
      <c r="X76" s="200">
        <f>GETPIVOTDATA("Sum of Old G E-Learning",'Pivot Table for Fact Book'!$A$3,"State","MS","type",10,"Type2","Two-Year")</f>
        <v>0</v>
      </c>
      <c r="Y76" s="200">
        <f>GETPIVOTDATA("Sum of New G E-Learning",'Pivot Table for Fact Book'!$A$3,"State","MS","type",10,"Type2","Two-Year")</f>
        <v>0</v>
      </c>
      <c r="Z76" s="201">
        <f>GETPIVOTDATA("Sum of Old G E-Learning",'Pivot Table for Fact Book'!$A$3,"State","MS","Type2","Two-Year")</f>
        <v>0</v>
      </c>
      <c r="AA76" s="201">
        <f>GETPIVOTDATA("Sum of New G E-Learning",'Pivot Table for Fact Book'!$A$3,"State","MS","Type2","Two-Year")</f>
        <v>0</v>
      </c>
      <c r="AB76" s="197">
        <f>GETPIVOTDATA("Sum of Old G E-Learning",'Pivot Table for Fact Book'!$A$3,"State","MS","type",12,"Type2","Technical")</f>
        <v>0</v>
      </c>
      <c r="AC76" s="200">
        <f>GETPIVOTDATA("Sum of New G E-Learning",'Pivot Table for Fact Book'!$A$3,"State","MS","type",12,"Type2","Technical")</f>
        <v>0</v>
      </c>
      <c r="AD76" s="200">
        <f>GETPIVOTDATA("Sum of Old G E-Learning",'Pivot Table for Fact Book'!$A$3,"State","MS","type",13,"Type2","Technical")</f>
        <v>0</v>
      </c>
      <c r="AE76" s="200">
        <f>GETPIVOTDATA("Sum of New G E-Learning",'Pivot Table for Fact Book'!$A$3,"State","MS","type",13,"Type2","Technical")</f>
        <v>0</v>
      </c>
      <c r="AF76" s="203">
        <f>GETPIVOTDATA("Sum of Old G E-Learning",'Pivot Table for Fact Book'!$A$3,"State","MS","Type2","Technical")</f>
        <v>0</v>
      </c>
      <c r="AG76" s="203">
        <f>GETPIVOTDATA("Sum of New G E-Learning",'Pivot Table for Fact Book'!$A$3,"State","MS","Type2","Technical")</f>
        <v>0</v>
      </c>
      <c r="AH76" s="14"/>
    </row>
    <row r="77" spans="1:34">
      <c r="A77" s="196" t="s">
        <v>184</v>
      </c>
      <c r="B77" s="197">
        <f>GETPIVOTDATA("Sum of Old G E-Learning",'Pivot Table for Fact Book'!$A$3,"State","NC","type",1,"Type2","Four-Year")</f>
        <v>28205</v>
      </c>
      <c r="C77" s="198">
        <f>GETPIVOTDATA("Sum of New G E-Learning",'Pivot Table for Fact Book'!$A$3,"State","NC","type",1,"Type2","Four-Year")</f>
        <v>31989</v>
      </c>
      <c r="D77" s="197">
        <f>GETPIVOTDATA("Sum of Old G E-Learning",'Pivot Table for Fact Book'!$A$3,"State","NC","type",2,"Type2","Four-Year")</f>
        <v>20516</v>
      </c>
      <c r="E77" s="198">
        <f>GETPIVOTDATA("Sum of New G E-Learning",'Pivot Table for Fact Book'!$A$3,"State","NC","type",2,"Type2","Four-Year")</f>
        <v>23091</v>
      </c>
      <c r="F77" s="197">
        <f>GETPIVOTDATA("Sum of Old G E-Learning",'Pivot Table for Fact Book'!$A$3,"State","NC","type",3,"Type2","Four-Year")</f>
        <v>79342</v>
      </c>
      <c r="G77" s="198">
        <f>GETPIVOTDATA("Sum of New G E-Learning",'Pivot Table for Fact Book'!$A$3,"State","NC","type",3,"Type2","Four-Year")</f>
        <v>80369</v>
      </c>
      <c r="H77" s="197">
        <f>GETPIVOTDATA("Sum of Old G E-Learning",'Pivot Table for Fact Book'!$A$3,"State","NC","type",4,"Type2","Four-Year")</f>
        <v>1224</v>
      </c>
      <c r="I77" s="198">
        <f>GETPIVOTDATA("Sum of New G E-Learning",'Pivot Table for Fact Book'!$A$3,"State","NC","type",4,"Type2","Four-Year")</f>
        <v>2298</v>
      </c>
      <c r="J77" s="197">
        <f>GETPIVOTDATA("Sum of Old G E-Learning",'Pivot Table for Fact Book'!$A$3,"State","NC","type",5,"Type2","Four-Year")</f>
        <v>5637</v>
      </c>
      <c r="K77" s="198">
        <f>GETPIVOTDATA("Sum of New G E-Learning",'Pivot Table for Fact Book'!$A$3,"State","NC","type",5,"Type2","Four-Year")</f>
        <v>6545</v>
      </c>
      <c r="L77" s="197">
        <f>GETPIVOTDATA("Sum of Old G E-Learning",'Pivot Table for Fact Book'!$A$3,"State","NC","type",6,"Type2","Four-Year")</f>
        <v>267</v>
      </c>
      <c r="M77" s="198">
        <f>GETPIVOTDATA("Sum of New G E-Learning",'Pivot Table for Fact Book'!$A$3,"State","NC","type",6,"Type2","Four-Year")</f>
        <v>365</v>
      </c>
      <c r="N77" s="197">
        <f>GETPIVOTDATA("Sum of Old G E-Learning",'Pivot Table for Fact Book'!$A$3,"State","NC","type",15,"Type2","Four-Year")</f>
        <v>0</v>
      </c>
      <c r="O77" s="198">
        <f>GETPIVOTDATA("Sum of New G E-Learning",'Pivot Table for Fact Book'!$A$3,"State","NC","type",15,"Type2","Four-Year")</f>
        <v>0</v>
      </c>
      <c r="P77" s="199">
        <f>GETPIVOTDATA("Sum of Old G E-Learning",'Pivot Table for Fact Book'!$A$3,"State","NC","Type2","Four-Year")</f>
        <v>135191</v>
      </c>
      <c r="Q77" s="199">
        <f>GETPIVOTDATA("Sum of New G E-Learning",'Pivot Table for Fact Book'!$A$3,"State","NC","Type2","Four-Year")</f>
        <v>144657</v>
      </c>
      <c r="R77" s="197">
        <f>GETPIVOTDATA("Sum of Old G E-Learning",'Pivot Table for Fact Book'!$A$3,"State","NC","type",7,"Type2","Two-Year")</f>
        <v>0</v>
      </c>
      <c r="S77" s="200">
        <f>GETPIVOTDATA("Sum of New G E-Learning",'Pivot Table for Fact Book'!$A$3,"State","NC","type",7,"Type2","Two-Year")</f>
        <v>0</v>
      </c>
      <c r="T77" s="200">
        <f>GETPIVOTDATA("Sum of Old G E-Learning",'Pivot Table for Fact Book'!$A$3,"State","NC","type",8,"Type2","Two-Year")</f>
        <v>0</v>
      </c>
      <c r="U77" s="200">
        <f>GETPIVOTDATA("Sum of New G E-Learning",'Pivot Table for Fact Book'!$A$3,"State","NC","type",8,"Type2","Two-Year")</f>
        <v>0</v>
      </c>
      <c r="V77" s="200">
        <f>GETPIVOTDATA("Sum of Old G E-Learning",'Pivot Table for Fact Book'!$A$3,"State","NC","type",9,"Type2","Two-Year")</f>
        <v>0</v>
      </c>
      <c r="W77" s="200">
        <f>GETPIVOTDATA("Sum of New G E-Learning",'Pivot Table for Fact Book'!$A$3,"State","NC","type",9,"Type2","Two-Year")</f>
        <v>0</v>
      </c>
      <c r="X77" s="200">
        <f>GETPIVOTDATA("Sum of Old G E-Learning",'Pivot Table for Fact Book'!$A$3,"State","NC","type",10,"Type2","Two-Year")</f>
        <v>0</v>
      </c>
      <c r="Y77" s="200">
        <f>GETPIVOTDATA("Sum of New G E-Learning",'Pivot Table for Fact Book'!$A$3,"State","NC","type",10,"Type2","Two-Year")</f>
        <v>0</v>
      </c>
      <c r="Z77" s="201">
        <f>GETPIVOTDATA("Sum of Old G E-Learning",'Pivot Table for Fact Book'!$A$3,"State","NC","Type2","Two-Year")</f>
        <v>0</v>
      </c>
      <c r="AA77" s="201">
        <f>GETPIVOTDATA("Sum of New G E-Learning",'Pivot Table for Fact Book'!$A$3,"State","NC","Type2","Two-Year")</f>
        <v>0</v>
      </c>
      <c r="AB77" s="197">
        <f>GETPIVOTDATA("Sum of Old G E-Learning",'Pivot Table for Fact Book'!$A$3,"State","NC","type",12,"Type2","Technical")</f>
        <v>0</v>
      </c>
      <c r="AC77" s="200">
        <f>GETPIVOTDATA("Sum of New G E-Learning",'Pivot Table for Fact Book'!$A$3,"State","NC","type",12,"Type2","Technical")</f>
        <v>0</v>
      </c>
      <c r="AD77" s="200">
        <f>GETPIVOTDATA("Sum of Old G E-Learning",'Pivot Table for Fact Book'!$A$3,"State","NC","type",13,"Type2","Technical")</f>
        <v>0</v>
      </c>
      <c r="AE77" s="200">
        <f>GETPIVOTDATA("Sum of New G E-Learning",'Pivot Table for Fact Book'!$A$3,"State","NC","type",13,"Type2","Technical")</f>
        <v>0</v>
      </c>
      <c r="AF77" s="203">
        <f>GETPIVOTDATA("Sum of Old G E-Learning",'Pivot Table for Fact Book'!$A$3,"State","NC","Type2","Technical")</f>
        <v>0</v>
      </c>
      <c r="AG77" s="203">
        <f>GETPIVOTDATA("Sum of New G E-Learning",'Pivot Table for Fact Book'!$A$3,"State","NC","Type2","Technical")</f>
        <v>0</v>
      </c>
      <c r="AH77" s="14"/>
    </row>
    <row r="78" spans="1:34">
      <c r="A78" s="196" t="s">
        <v>185</v>
      </c>
      <c r="B78" s="197">
        <f>GETPIVOTDATA("Sum of Old G E-Learning",'Pivot Table for Fact Book'!$A$3,"State","OK","type",1,"Type2","Four-Year")</f>
        <v>19890</v>
      </c>
      <c r="C78" s="198">
        <f>GETPIVOTDATA("Sum of New G E-Learning",'Pivot Table for Fact Book'!$A$3,"State","OK","type",1,"Type2","Four-Year")</f>
        <v>24763</v>
      </c>
      <c r="D78" s="197">
        <f>GETPIVOTDATA("Sum of Old G E-Learning",'Pivot Table for Fact Book'!$A$3,"State","OK","type",2,"Type2","Four-Year")</f>
        <v>0</v>
      </c>
      <c r="E78" s="198">
        <f>GETPIVOTDATA("Sum of New G E-Learning",'Pivot Table for Fact Book'!$A$3,"State","OK","type",2,"Type2","Four-Year")</f>
        <v>0</v>
      </c>
      <c r="F78" s="197">
        <f>GETPIVOTDATA("Sum of Old G E-Learning",'Pivot Table for Fact Book'!$A$3,"State","OK","type",3,"Type2","Four-Year")</f>
        <v>4063</v>
      </c>
      <c r="G78" s="198">
        <f>GETPIVOTDATA("Sum of New G E-Learning",'Pivot Table for Fact Book'!$A$3,"State","OK","type",3,"Type2","Four-Year")</f>
        <v>3677</v>
      </c>
      <c r="H78" s="197">
        <f>GETPIVOTDATA("Sum of Old G E-Learning",'Pivot Table for Fact Book'!$A$3,"State","OK","type",4,"Type2","Four-Year")</f>
        <v>0</v>
      </c>
      <c r="I78" s="198">
        <f>GETPIVOTDATA("Sum of New G E-Learning",'Pivot Table for Fact Book'!$A$3,"State","OK","type",4,"Type2","Four-Year")</f>
        <v>0</v>
      </c>
      <c r="J78" s="197">
        <f>GETPIVOTDATA("Sum of Old G E-Learning",'Pivot Table for Fact Book'!$A$3,"State","OK","type",5,"Type2","Four-Year")</f>
        <v>18335</v>
      </c>
      <c r="K78" s="198">
        <f>GETPIVOTDATA("Sum of New G E-Learning",'Pivot Table for Fact Book'!$A$3,"State","OK","type",5,"Type2","Four-Year")</f>
        <v>22579</v>
      </c>
      <c r="L78" s="197">
        <f>GETPIVOTDATA("Sum of Old G E-Learning",'Pivot Table for Fact Book'!$A$3,"State","OK","type",6,"Type2","Four-Year")</f>
        <v>0</v>
      </c>
      <c r="M78" s="198">
        <f>GETPIVOTDATA("Sum of New G E-Learning",'Pivot Table for Fact Book'!$A$3,"State","OK","type",6,"Type2","Four-Year")</f>
        <v>0</v>
      </c>
      <c r="N78" s="197">
        <f>GETPIVOTDATA("Sum of Old G E-Learning",'Pivot Table for Fact Book'!$A$3,"State","OK","type",15,"Type2","Four-Year")</f>
        <v>0</v>
      </c>
      <c r="O78" s="198">
        <f>GETPIVOTDATA("Sum of New G E-Learning",'Pivot Table for Fact Book'!$A$3,"State","OK","type",15,"Type2","Four-Year")</f>
        <v>0</v>
      </c>
      <c r="P78" s="199">
        <f>GETPIVOTDATA("Sum of Old G E-Learning",'Pivot Table for Fact Book'!$A$3,"State","OK","Type2","Four-Year")</f>
        <v>42288</v>
      </c>
      <c r="Q78" s="199">
        <f>GETPIVOTDATA("Sum of New G E-Learning",'Pivot Table for Fact Book'!$A$3,"State","OK","Type2","Four-Year")</f>
        <v>51019</v>
      </c>
      <c r="R78" s="197">
        <f>GETPIVOTDATA("Sum of Old G E-Learning",'Pivot Table for Fact Book'!$A$3,"State","OK","type",7,"Type2","Two-Year")</f>
        <v>0</v>
      </c>
      <c r="S78" s="200">
        <f>GETPIVOTDATA("Sum of New G E-Learning",'Pivot Table for Fact Book'!$A$3,"State","OK","type",7,"Type2","Two-Year")</f>
        <v>0</v>
      </c>
      <c r="T78" s="200">
        <f>GETPIVOTDATA("Sum of Old G E-Learning",'Pivot Table for Fact Book'!$A$3,"State","OK","type",8,"Type2","Two-Year")</f>
        <v>0</v>
      </c>
      <c r="U78" s="200">
        <f>GETPIVOTDATA("Sum of New G E-Learning",'Pivot Table for Fact Book'!$A$3,"State","OK","type",8,"Type2","Two-Year")</f>
        <v>0</v>
      </c>
      <c r="V78" s="200">
        <f>GETPIVOTDATA("Sum of Old G E-Learning",'Pivot Table for Fact Book'!$A$3,"State","OK","type",9,"Type2","Two-Year")</f>
        <v>0</v>
      </c>
      <c r="W78" s="200">
        <f>GETPIVOTDATA("Sum of New G E-Learning",'Pivot Table for Fact Book'!$A$3,"State","OK","type",9,"Type2","Two-Year")</f>
        <v>0</v>
      </c>
      <c r="X78" s="200">
        <f>GETPIVOTDATA("Sum of Old G E-Learning",'Pivot Table for Fact Book'!$A$3,"State","OK","type",10,"Type2","Two-Year")</f>
        <v>0</v>
      </c>
      <c r="Y78" s="200">
        <f>GETPIVOTDATA("Sum of New G E-Learning",'Pivot Table for Fact Book'!$A$3,"State","OK","type",10,"Type2","Two-Year")</f>
        <v>0</v>
      </c>
      <c r="Z78" s="201">
        <f>GETPIVOTDATA("Sum of Old G E-Learning",'Pivot Table for Fact Book'!$A$3,"State","OK","Type2","Two-Year")</f>
        <v>0</v>
      </c>
      <c r="AA78" s="201">
        <f>GETPIVOTDATA("Sum of New G E-Learning",'Pivot Table for Fact Book'!$A$3,"State","OK","Type2","Two-Year")</f>
        <v>0</v>
      </c>
      <c r="AB78" s="197">
        <f>GETPIVOTDATA("Sum of Old G E-Learning",'Pivot Table for Fact Book'!$A$3,"State","OK","type",12,"Type2","Technical")</f>
        <v>0</v>
      </c>
      <c r="AC78" s="200">
        <f>GETPIVOTDATA("Sum of New G E-Learning",'Pivot Table for Fact Book'!$A$3,"State","OK","type",12,"Type2","Technical")</f>
        <v>0</v>
      </c>
      <c r="AD78" s="200">
        <f>GETPIVOTDATA("Sum of Old G E-Learning",'Pivot Table for Fact Book'!$A$3,"State","OK","type",13,"Type2","Technical")</f>
        <v>0</v>
      </c>
      <c r="AE78" s="200">
        <f>GETPIVOTDATA("Sum of New G E-Learning",'Pivot Table for Fact Book'!$A$3,"State","OK","type",13,"Type2","Technical")</f>
        <v>0</v>
      </c>
      <c r="AF78" s="203">
        <f>GETPIVOTDATA("Sum of Old G E-Learning",'Pivot Table for Fact Book'!$A$3,"State","OK","Type2","Technical")</f>
        <v>0</v>
      </c>
      <c r="AG78" s="203">
        <f>GETPIVOTDATA("Sum of New G E-Learning",'Pivot Table for Fact Book'!$A$3,"State","OK","Type2","Technical")</f>
        <v>0</v>
      </c>
      <c r="AH78" s="14"/>
    </row>
    <row r="79" spans="1:34">
      <c r="A79" s="196" t="s">
        <v>186</v>
      </c>
      <c r="B79" s="197">
        <f>GETPIVOTDATA("Sum of Old G E-Learning",'Pivot Table for Fact Book'!$A$3,"State","SC","type",1,"Type2","Four-Year")</f>
        <v>34229</v>
      </c>
      <c r="C79" s="198">
        <f>GETPIVOTDATA("Sum of New G E-Learning",'Pivot Table for Fact Book'!$A$3,"State","SC","type",1,"Type2","Four-Year")</f>
        <v>37640</v>
      </c>
      <c r="D79" s="197">
        <f>GETPIVOTDATA("Sum of Old G E-Learning",'Pivot Table for Fact Book'!$A$3,"State","SC","type",2,"Type2","Four-Year")</f>
        <v>0</v>
      </c>
      <c r="E79" s="198">
        <f>GETPIVOTDATA("Sum of New G E-Learning",'Pivot Table for Fact Book'!$A$3,"State","SC","type",2,"Type2","Four-Year")</f>
        <v>0</v>
      </c>
      <c r="F79" s="197">
        <f>GETPIVOTDATA("Sum of Old G E-Learning",'Pivot Table for Fact Book'!$A$3,"State","SC","type",3,"Type2","Four-Year")</f>
        <v>93</v>
      </c>
      <c r="G79" s="198">
        <f>GETPIVOTDATA("Sum of New G E-Learning",'Pivot Table for Fact Book'!$A$3,"State","SC","type",3,"Type2","Four-Year")</f>
        <v>491</v>
      </c>
      <c r="H79" s="197">
        <f>GETPIVOTDATA("Sum of Old G E-Learning",'Pivot Table for Fact Book'!$A$3,"State","SC","type",4,"Type2","Four-Year")</f>
        <v>579</v>
      </c>
      <c r="I79" s="198">
        <f>GETPIVOTDATA("Sum of New G E-Learning",'Pivot Table for Fact Book'!$A$3,"State","SC","type",4,"Type2","Four-Year")</f>
        <v>237</v>
      </c>
      <c r="J79" s="197">
        <f>GETPIVOTDATA("Sum of Old G E-Learning",'Pivot Table for Fact Book'!$A$3,"State","SC","type",5,"Type2","Four-Year")</f>
        <v>4947</v>
      </c>
      <c r="K79" s="198">
        <f>GETPIVOTDATA("Sum of New G E-Learning",'Pivot Table for Fact Book'!$A$3,"State","SC","type",5,"Type2","Four-Year")</f>
        <v>3057</v>
      </c>
      <c r="L79" s="197">
        <f>GETPIVOTDATA("Sum of Old G E-Learning",'Pivot Table for Fact Book'!$A$3,"State","SC","type",6,"Type2","Four-Year")</f>
        <v>963</v>
      </c>
      <c r="M79" s="198">
        <f>GETPIVOTDATA("Sum of New G E-Learning",'Pivot Table for Fact Book'!$A$3,"State","SC","type",6,"Type2","Four-Year")</f>
        <v>1458</v>
      </c>
      <c r="N79" s="197">
        <f>GETPIVOTDATA("Sum of Old G E-Learning",'Pivot Table for Fact Book'!$A$3,"State","SC","type",15,"Type2","Four-Year")</f>
        <v>0</v>
      </c>
      <c r="O79" s="198">
        <f>GETPIVOTDATA("Sum of New G E-Learning",'Pivot Table for Fact Book'!$A$3,"State","SC","type",15,"Type2","Four-Year")</f>
        <v>0</v>
      </c>
      <c r="P79" s="199">
        <f>GETPIVOTDATA("Sum of Old G E-Learning",'Pivot Table for Fact Book'!$A$3,"State","SC","Type2","Four-Year")</f>
        <v>40811</v>
      </c>
      <c r="Q79" s="199">
        <f>GETPIVOTDATA("Sum of New G E-Learning",'Pivot Table for Fact Book'!$A$3,"State","SC","Type2","Four-Year")</f>
        <v>42883</v>
      </c>
      <c r="R79" s="197">
        <f>GETPIVOTDATA("Sum of Old G E-Learning",'Pivot Table for Fact Book'!$A$3,"State","SC","type",7,"Type2","Two-Year")</f>
        <v>0</v>
      </c>
      <c r="S79" s="200">
        <f>GETPIVOTDATA("Sum of New G E-Learning",'Pivot Table for Fact Book'!$A$3,"State","SC","type",7,"Type2","Two-Year")</f>
        <v>0</v>
      </c>
      <c r="T79" s="200">
        <f>GETPIVOTDATA("Sum of Old G E-Learning",'Pivot Table for Fact Book'!$A$3,"State","SC","type",8,"Type2","Two-Year")</f>
        <v>0</v>
      </c>
      <c r="U79" s="200">
        <f>GETPIVOTDATA("Sum of New G E-Learning",'Pivot Table for Fact Book'!$A$3,"State","SC","type",8,"Type2","Two-Year")</f>
        <v>0</v>
      </c>
      <c r="V79" s="200">
        <f>GETPIVOTDATA("Sum of Old G E-Learning",'Pivot Table for Fact Book'!$A$3,"State","SC","type",9,"Type2","Two-Year")</f>
        <v>0</v>
      </c>
      <c r="W79" s="200">
        <f>GETPIVOTDATA("Sum of New G E-Learning",'Pivot Table for Fact Book'!$A$3,"State","SC","type",9,"Type2","Two-Year")</f>
        <v>0</v>
      </c>
      <c r="X79" s="200">
        <f>GETPIVOTDATA("Sum of Old G E-Learning",'Pivot Table for Fact Book'!$A$3,"State","SC","type",10,"Type2","Two-Year")</f>
        <v>0</v>
      </c>
      <c r="Y79" s="200">
        <f>GETPIVOTDATA("Sum of New G E-Learning",'Pivot Table for Fact Book'!$A$3,"State","SC","type",10,"Type2","Two-Year")</f>
        <v>0</v>
      </c>
      <c r="Z79" s="201">
        <f>GETPIVOTDATA("Sum of Old G E-Learning",'Pivot Table for Fact Book'!$A$3,"State","SC","Type2","Two-Year")</f>
        <v>0</v>
      </c>
      <c r="AA79" s="201">
        <f>GETPIVOTDATA("Sum of New G E-Learning",'Pivot Table for Fact Book'!$A$3,"State","SC","Type2","Two-Year")</f>
        <v>0</v>
      </c>
      <c r="AB79" s="197">
        <f>GETPIVOTDATA("Sum of Old G E-Learning",'Pivot Table for Fact Book'!$A$3,"State","SC","type",12,"Type2","Technical")</f>
        <v>0</v>
      </c>
      <c r="AC79" s="200">
        <f>GETPIVOTDATA("Sum of New G E-Learning",'Pivot Table for Fact Book'!$A$3,"State","SC","type",12,"Type2","Technical")</f>
        <v>0</v>
      </c>
      <c r="AD79" s="200">
        <f>GETPIVOTDATA("Sum of Old G E-Learning",'Pivot Table for Fact Book'!$A$3,"State","SC","type",13,"Type2","Technical")</f>
        <v>0</v>
      </c>
      <c r="AE79" s="200">
        <f>GETPIVOTDATA("Sum of New G E-Learning",'Pivot Table for Fact Book'!$A$3,"State","SC","type",13,"Type2","Technical")</f>
        <v>0</v>
      </c>
      <c r="AF79" s="203">
        <f>GETPIVOTDATA("Sum of Old G E-Learning",'Pivot Table for Fact Book'!$A$3,"State","SC","Type2","Technical")</f>
        <v>0</v>
      </c>
      <c r="AG79" s="203">
        <f>GETPIVOTDATA("Sum of New G E-Learning",'Pivot Table for Fact Book'!$A$3,"State","SC","Type2","Technical")</f>
        <v>0</v>
      </c>
      <c r="AH79" s="14"/>
    </row>
    <row r="80" spans="1:34">
      <c r="A80" s="196" t="s">
        <v>187</v>
      </c>
      <c r="B80" s="197">
        <f>GETPIVOTDATA("Sum of Old G E-Learning",'Pivot Table for Fact Book'!$A$3,"State","TN","type",1,"Type2","Four-Year")</f>
        <v>31554</v>
      </c>
      <c r="C80" s="198">
        <f>GETPIVOTDATA("Sum of New G E-Learning",'Pivot Table for Fact Book'!$A$3,"State","TN","type",1,"Type2","Four-Year")</f>
        <v>30851</v>
      </c>
      <c r="D80" s="197">
        <f>GETPIVOTDATA("Sum of Old G E-Learning",'Pivot Table for Fact Book'!$A$3,"State","TN","type",2,"Type2","Four-Year")</f>
        <v>0</v>
      </c>
      <c r="E80" s="198">
        <f>GETPIVOTDATA("Sum of New G E-Learning",'Pivot Table for Fact Book'!$A$3,"State","TN","type",2,"Type2","Four-Year")</f>
        <v>0</v>
      </c>
      <c r="F80" s="197">
        <f>GETPIVOTDATA("Sum of Old G E-Learning",'Pivot Table for Fact Book'!$A$3,"State","TN","type",3,"Type2","Four-Year")</f>
        <v>46918</v>
      </c>
      <c r="G80" s="198">
        <f>GETPIVOTDATA("Sum of New G E-Learning",'Pivot Table for Fact Book'!$A$3,"State","TN","type",3,"Type2","Four-Year")</f>
        <v>35804</v>
      </c>
      <c r="H80" s="197">
        <f>GETPIVOTDATA("Sum of Old G E-Learning",'Pivot Table for Fact Book'!$A$3,"State","TN","type",4,"Type2","Four-Year")</f>
        <v>0</v>
      </c>
      <c r="I80" s="198">
        <f>GETPIVOTDATA("Sum of New G E-Learning",'Pivot Table for Fact Book'!$A$3,"State","TN","type",4,"Type2","Four-Year")</f>
        <v>0</v>
      </c>
      <c r="J80" s="197">
        <f>GETPIVOTDATA("Sum of Old G E-Learning",'Pivot Table for Fact Book'!$A$3,"State","TN","type",5,"Type2","Four-Year")</f>
        <v>5204</v>
      </c>
      <c r="K80" s="198">
        <f>GETPIVOTDATA("Sum of New G E-Learning",'Pivot Table for Fact Book'!$A$3,"State","TN","type",5,"Type2","Four-Year")</f>
        <v>3896</v>
      </c>
      <c r="L80" s="197">
        <f>GETPIVOTDATA("Sum of Old G E-Learning",'Pivot Table for Fact Book'!$A$3,"State","TN","type",6,"Type2","Four-Year")</f>
        <v>0</v>
      </c>
      <c r="M80" s="198">
        <f>GETPIVOTDATA("Sum of New G E-Learning",'Pivot Table for Fact Book'!$A$3,"State","TN","type",6,"Type2","Four-Year")</f>
        <v>0</v>
      </c>
      <c r="N80" s="197">
        <f>GETPIVOTDATA("Sum of Old G E-Learning",'Pivot Table for Fact Book'!$A$3,"State","TN","type",15,"Type2","Four-Year")</f>
        <v>0</v>
      </c>
      <c r="O80" s="198">
        <f>GETPIVOTDATA("Sum of New G E-Learning",'Pivot Table for Fact Book'!$A$3,"State","TN","type",15,"Type2","Four-Year")</f>
        <v>0</v>
      </c>
      <c r="P80" s="199">
        <f>GETPIVOTDATA("Sum of Old G E-Learning",'Pivot Table for Fact Book'!$A$3,"State","TN","Type2","Four-Year")</f>
        <v>83676</v>
      </c>
      <c r="Q80" s="199">
        <f>GETPIVOTDATA("Sum of New G E-Learning",'Pivot Table for Fact Book'!$A$3,"State","TN","Type2","Four-Year")</f>
        <v>70551</v>
      </c>
      <c r="R80" s="197">
        <f>GETPIVOTDATA("Sum of Old G E-Learning",'Pivot Table for Fact Book'!$A$3,"State","TN","type",7,"Type2","Two-Year")</f>
        <v>0</v>
      </c>
      <c r="S80" s="200">
        <f>GETPIVOTDATA("Sum of New G E-Learning",'Pivot Table for Fact Book'!$A$3,"State","TN","type",7,"Type2","Two-Year")</f>
        <v>0</v>
      </c>
      <c r="T80" s="200">
        <f>GETPIVOTDATA("Sum of Old G E-Learning",'Pivot Table for Fact Book'!$A$3,"State","TN","type",8,"Type2","Two-Year")</f>
        <v>0</v>
      </c>
      <c r="U80" s="200">
        <f>GETPIVOTDATA("Sum of New G E-Learning",'Pivot Table for Fact Book'!$A$3,"State","TN","type",8,"Type2","Two-Year")</f>
        <v>0</v>
      </c>
      <c r="V80" s="200">
        <f>GETPIVOTDATA("Sum of Old G E-Learning",'Pivot Table for Fact Book'!$A$3,"State","TN","type",9,"Type2","Two-Year")</f>
        <v>0</v>
      </c>
      <c r="W80" s="200">
        <f>GETPIVOTDATA("Sum of New G E-Learning",'Pivot Table for Fact Book'!$A$3,"State","TN","type",9,"Type2","Two-Year")</f>
        <v>0</v>
      </c>
      <c r="X80" s="200">
        <f>GETPIVOTDATA("Sum of Old G E-Learning",'Pivot Table for Fact Book'!$A$3,"State","TN","type",10,"Type2","Two-Year")</f>
        <v>0</v>
      </c>
      <c r="Y80" s="200">
        <f>GETPIVOTDATA("Sum of New G E-Learning",'Pivot Table for Fact Book'!$A$3,"State","TN","type",10,"Type2","Two-Year")</f>
        <v>0</v>
      </c>
      <c r="Z80" s="201">
        <f>GETPIVOTDATA("Sum of Old G E-Learning",'Pivot Table for Fact Book'!$A$3,"State","TN","Type2","Two-Year")</f>
        <v>0</v>
      </c>
      <c r="AA80" s="201">
        <f>GETPIVOTDATA("Sum of New G E-Learning",'Pivot Table for Fact Book'!$A$3,"State","TN","Type2","Two-Year")</f>
        <v>0</v>
      </c>
      <c r="AB80" s="197">
        <f>GETPIVOTDATA("Sum of Old G E-Learning",'Pivot Table for Fact Book'!$A$3,"State","TN","type",12,"Type2","Technical")</f>
        <v>0</v>
      </c>
      <c r="AC80" s="200">
        <f>GETPIVOTDATA("Sum of New G E-Learning",'Pivot Table for Fact Book'!$A$3,"State","TN","type",12,"Type2","Technical")</f>
        <v>0</v>
      </c>
      <c r="AD80" s="200">
        <f>GETPIVOTDATA("Sum of Old G E-Learning",'Pivot Table for Fact Book'!$A$3,"State","TN","type",13,"Type2","Technical")</f>
        <v>0</v>
      </c>
      <c r="AE80" s="200">
        <f>GETPIVOTDATA("Sum of New G E-Learning",'Pivot Table for Fact Book'!$A$3,"State","TN","type",13,"Type2","Technical")</f>
        <v>0</v>
      </c>
      <c r="AF80" s="203">
        <f>GETPIVOTDATA("Sum of Old G E-Learning",'Pivot Table for Fact Book'!$A$3,"State","TN","Type2","Technical")</f>
        <v>0</v>
      </c>
      <c r="AG80" s="203">
        <f>GETPIVOTDATA("Sum of New G E-Learning",'Pivot Table for Fact Book'!$A$3,"State","TN","Type2","Technical")</f>
        <v>0</v>
      </c>
      <c r="AH80" s="14"/>
    </row>
    <row r="81" spans="1:34">
      <c r="A81" s="196" t="s">
        <v>188</v>
      </c>
      <c r="B81" s="197">
        <f>GETPIVOTDATA("Sum of Old G E-Learning",'Pivot Table for Fact Book'!$A$3,"State","TX","type",1,"Type2","Four-Year")</f>
        <v>84205</v>
      </c>
      <c r="C81" s="198">
        <f>GETPIVOTDATA("Sum of New G E-Learning",'Pivot Table for Fact Book'!$A$3,"State","TX","type",1,"Type2","Four-Year")</f>
        <v>118870</v>
      </c>
      <c r="D81" s="197">
        <f>GETPIVOTDATA("Sum of Old G E-Learning",'Pivot Table for Fact Book'!$A$3,"State","TX","type",2,"Type2","Four-Year")</f>
        <v>51851</v>
      </c>
      <c r="E81" s="198">
        <f>GETPIVOTDATA("Sum of New G E-Learning",'Pivot Table for Fact Book'!$A$3,"State","TX","type",2,"Type2","Four-Year")</f>
        <v>62151</v>
      </c>
      <c r="F81" s="197">
        <f>GETPIVOTDATA("Sum of Old G E-Learning",'Pivot Table for Fact Book'!$A$3,"State","TX","type",3,"Type2","Four-Year")</f>
        <v>196921</v>
      </c>
      <c r="G81" s="198">
        <f>GETPIVOTDATA("Sum of New G E-Learning",'Pivot Table for Fact Book'!$A$3,"State","TX","type",3,"Type2","Four-Year")</f>
        <v>224307</v>
      </c>
      <c r="H81" s="197">
        <f>GETPIVOTDATA("Sum of Old G E-Learning",'Pivot Table for Fact Book'!$A$3,"State","TX","type",4,"Type2","Four-Year")</f>
        <v>24063</v>
      </c>
      <c r="I81" s="198">
        <f>GETPIVOTDATA("Sum of New G E-Learning",'Pivot Table for Fact Book'!$A$3,"State","TX","type",4,"Type2","Four-Year")</f>
        <v>27678</v>
      </c>
      <c r="J81" s="197">
        <f>GETPIVOTDATA("Sum of Old G E-Learning",'Pivot Table for Fact Book'!$A$3,"State","TX","type",5,"Type2","Four-Year")</f>
        <v>1014</v>
      </c>
      <c r="K81" s="198">
        <f>GETPIVOTDATA("Sum of New G E-Learning",'Pivot Table for Fact Book'!$A$3,"State","TX","type",5,"Type2","Four-Year")</f>
        <v>1632</v>
      </c>
      <c r="L81" s="197">
        <f>GETPIVOTDATA("Sum of Old G E-Learning",'Pivot Table for Fact Book'!$A$3,"State","TX","type",6,"Type2","Four-Year")</f>
        <v>36</v>
      </c>
      <c r="M81" s="198">
        <f>GETPIVOTDATA("Sum of New G E-Learning",'Pivot Table for Fact Book'!$A$3,"State","TX","type",6,"Type2","Four-Year")</f>
        <v>63</v>
      </c>
      <c r="N81" s="197">
        <f>GETPIVOTDATA("Sum of Old G E-Learning",'Pivot Table for Fact Book'!$A$3,"State","TX","type",15,"Type2","Four-Year")</f>
        <v>0</v>
      </c>
      <c r="O81" s="198">
        <f>GETPIVOTDATA("Sum of New G E-Learning",'Pivot Table for Fact Book'!$A$3,"State","TX","type",15,"Type2","Four-Year")</f>
        <v>0</v>
      </c>
      <c r="P81" s="199">
        <f>GETPIVOTDATA("Sum of Old G E-Learning",'Pivot Table for Fact Book'!$A$3,"State","TX","Type2","Four-Year")</f>
        <v>358090</v>
      </c>
      <c r="Q81" s="199">
        <f>GETPIVOTDATA("Sum of New G E-Learning",'Pivot Table for Fact Book'!$A$3,"State","TX","Type2","Four-Year")</f>
        <v>434701</v>
      </c>
      <c r="R81" s="197">
        <f>GETPIVOTDATA("Sum of Old G E-Learning",'Pivot Table for Fact Book'!$A$3,"State","TX","type",7,"Type2","Two-Year")</f>
        <v>0</v>
      </c>
      <c r="S81" s="200">
        <f>GETPIVOTDATA("Sum of New G E-Learning",'Pivot Table for Fact Book'!$A$3,"State","TX","type",7,"Type2","Two-Year")</f>
        <v>0</v>
      </c>
      <c r="T81" s="200">
        <f>GETPIVOTDATA("Sum of Old G E-Learning",'Pivot Table for Fact Book'!$A$3,"State","TX","type",8,"Type2","Two-Year")</f>
        <v>0</v>
      </c>
      <c r="U81" s="200">
        <f>GETPIVOTDATA("Sum of New G E-Learning",'Pivot Table for Fact Book'!$A$3,"State","TX","type",8,"Type2","Two-Year")</f>
        <v>0</v>
      </c>
      <c r="V81" s="200">
        <f>GETPIVOTDATA("Sum of Old G E-Learning",'Pivot Table for Fact Book'!$A$3,"State","TX","type",9,"Type2","Two-Year")</f>
        <v>0</v>
      </c>
      <c r="W81" s="200">
        <f>GETPIVOTDATA("Sum of New G E-Learning",'Pivot Table for Fact Book'!$A$3,"State","TX","type",9,"Type2","Two-Year")</f>
        <v>0</v>
      </c>
      <c r="X81" s="200">
        <f>GETPIVOTDATA("Sum of Old G E-Learning",'Pivot Table for Fact Book'!$A$3,"State","TX","type",10,"Type2","Two-Year")</f>
        <v>0</v>
      </c>
      <c r="Y81" s="200">
        <f>GETPIVOTDATA("Sum of New G E-Learning",'Pivot Table for Fact Book'!$A$3,"State","TX","type",10,"Type2","Two-Year")</f>
        <v>0</v>
      </c>
      <c r="Z81" s="201">
        <f>GETPIVOTDATA("Sum of Old G E-Learning",'Pivot Table for Fact Book'!$A$3,"State","TX","Type2","Two-Year")</f>
        <v>0</v>
      </c>
      <c r="AA81" s="201">
        <f>GETPIVOTDATA("Sum of New G E-Learning",'Pivot Table for Fact Book'!$A$3,"State","TX","Type2","Two-Year")</f>
        <v>0</v>
      </c>
      <c r="AB81" s="197">
        <f>GETPIVOTDATA("Sum of Old G E-Learning",'Pivot Table for Fact Book'!$A$3,"State","TX","type",12,"Type2","Technical")</f>
        <v>0</v>
      </c>
      <c r="AC81" s="200">
        <f>GETPIVOTDATA("Sum of New G E-Learning",'Pivot Table for Fact Book'!$A$3,"State","TX","type",12,"Type2","Technical")</f>
        <v>0</v>
      </c>
      <c r="AD81" s="200">
        <f>GETPIVOTDATA("Sum of Old G E-Learning",'Pivot Table for Fact Book'!$A$3,"State","TX","type",13,"Type2","Technical")</f>
        <v>0</v>
      </c>
      <c r="AE81" s="200">
        <f>GETPIVOTDATA("Sum of New G E-Learning",'Pivot Table for Fact Book'!$A$3,"State","TX","type",13,"Type2","Technical")</f>
        <v>0</v>
      </c>
      <c r="AF81" s="203">
        <f>GETPIVOTDATA("Sum of Old G E-Learning",'Pivot Table for Fact Book'!$A$3,"State","TX","Type2","Technical")</f>
        <v>0</v>
      </c>
      <c r="AG81" s="203">
        <f>GETPIVOTDATA("Sum of New G E-Learning",'Pivot Table for Fact Book'!$A$3,"State","TX","Type2","Technical")</f>
        <v>0</v>
      </c>
      <c r="AH81" s="14"/>
    </row>
    <row r="82" spans="1:34">
      <c r="A82" s="196" t="s">
        <v>189</v>
      </c>
      <c r="B82" s="197">
        <f>GETPIVOTDATA("Sum of Old G E-Learning",'Pivot Table for Fact Book'!$A$3,"State","VA","type",1,"Type2","Four-Year")</f>
        <v>0</v>
      </c>
      <c r="C82" s="198">
        <f>GETPIVOTDATA("Sum of New G E-Learning",'Pivot Table for Fact Book'!$A$3,"State","VA","type",1,"Type2","Four-Year")</f>
        <v>55509</v>
      </c>
      <c r="D82" s="197">
        <f>GETPIVOTDATA("Sum of Old G E-Learning",'Pivot Table for Fact Book'!$A$3,"State","VA","type",2,"Type2","Four-Year")</f>
        <v>0</v>
      </c>
      <c r="E82" s="198">
        <f>GETPIVOTDATA("Sum of New G E-Learning",'Pivot Table for Fact Book'!$A$3,"State","VA","type",2,"Type2","Four-Year")</f>
        <v>8050</v>
      </c>
      <c r="F82" s="197">
        <f>GETPIVOTDATA("Sum of Old G E-Learning",'Pivot Table for Fact Book'!$A$3,"State","VA","type",3,"Type2","Four-Year")</f>
        <v>0</v>
      </c>
      <c r="G82" s="198">
        <f>GETPIVOTDATA("Sum of New G E-Learning",'Pivot Table for Fact Book'!$A$3,"State","VA","type",3,"Type2","Four-Year")</f>
        <v>4189</v>
      </c>
      <c r="H82" s="197">
        <f>GETPIVOTDATA("Sum of Old G E-Learning",'Pivot Table for Fact Book'!$A$3,"State","VA","type",4,"Type2","Four-Year")</f>
        <v>0</v>
      </c>
      <c r="I82" s="198">
        <f>GETPIVOTDATA("Sum of New G E-Learning",'Pivot Table for Fact Book'!$A$3,"State","VA","type",4,"Type2","Four-Year")</f>
        <v>2398</v>
      </c>
      <c r="J82" s="197">
        <f>GETPIVOTDATA("Sum of Old G E-Learning",'Pivot Table for Fact Book'!$A$3,"State","VA","type",5,"Type2","Four-Year")</f>
        <v>0</v>
      </c>
      <c r="K82" s="198">
        <f>GETPIVOTDATA("Sum of New G E-Learning",'Pivot Table for Fact Book'!$A$3,"State","VA","type",5,"Type2","Four-Year")</f>
        <v>1687</v>
      </c>
      <c r="L82" s="197">
        <f>GETPIVOTDATA("Sum of Old G E-Learning",'Pivot Table for Fact Book'!$A$3,"State","VA","type",6,"Type2","Four-Year")</f>
        <v>0</v>
      </c>
      <c r="M82" s="198">
        <f>GETPIVOTDATA("Sum of New G E-Learning",'Pivot Table for Fact Book'!$A$3,"State","VA","type",6,"Type2","Four-Year")</f>
        <v>0</v>
      </c>
      <c r="N82" s="197">
        <f>GETPIVOTDATA("Sum of Old G E-Learning",'Pivot Table for Fact Book'!$A$3,"State","VA","type",15,"Type2","Four-Year")</f>
        <v>0</v>
      </c>
      <c r="O82" s="198">
        <f>GETPIVOTDATA("Sum of New G E-Learning",'Pivot Table for Fact Book'!$A$3,"State","VA","type",15,"Type2","Four-Year")</f>
        <v>0</v>
      </c>
      <c r="P82" s="199">
        <f>GETPIVOTDATA("Sum of Old G E-Learning",'Pivot Table for Fact Book'!$A$3,"State","VA","Type2","Four-Year")</f>
        <v>0</v>
      </c>
      <c r="Q82" s="199">
        <f>GETPIVOTDATA("Sum of New G E-Learning",'Pivot Table for Fact Book'!$A$3,"State","VA","Type2","Four-Year")</f>
        <v>71833</v>
      </c>
      <c r="R82" s="197">
        <f>GETPIVOTDATA("Sum of Old G E-Learning",'Pivot Table for Fact Book'!$A$3,"State","VA","type",7,"Type2","Two-Year")</f>
        <v>0</v>
      </c>
      <c r="S82" s="200">
        <f>GETPIVOTDATA("Sum of New G E-Learning",'Pivot Table for Fact Book'!$A$3,"State","VA","type",7,"Type2","Two-Year")</f>
        <v>0</v>
      </c>
      <c r="T82" s="200">
        <f>GETPIVOTDATA("Sum of Old G E-Learning",'Pivot Table for Fact Book'!$A$3,"State","VA","type",8,"Type2","Two-Year")</f>
        <v>0</v>
      </c>
      <c r="U82" s="200">
        <f>GETPIVOTDATA("Sum of New G E-Learning",'Pivot Table for Fact Book'!$A$3,"State","VA","type",8,"Type2","Two-Year")</f>
        <v>0</v>
      </c>
      <c r="V82" s="200">
        <f>GETPIVOTDATA("Sum of Old G E-Learning",'Pivot Table for Fact Book'!$A$3,"State","VA","type",9,"Type2","Two-Year")</f>
        <v>0</v>
      </c>
      <c r="W82" s="200">
        <f>GETPIVOTDATA("Sum of New G E-Learning",'Pivot Table for Fact Book'!$A$3,"State","VA","type",9,"Type2","Two-Year")</f>
        <v>0</v>
      </c>
      <c r="X82" s="200">
        <f>GETPIVOTDATA("Sum of Old G E-Learning",'Pivot Table for Fact Book'!$A$3,"State","VA","type",10,"Type2","Two-Year")</f>
        <v>0</v>
      </c>
      <c r="Y82" s="200">
        <f>GETPIVOTDATA("Sum of New G E-Learning",'Pivot Table for Fact Book'!$A$3,"State","VA","type",10,"Type2","Two-Year")</f>
        <v>0</v>
      </c>
      <c r="Z82" s="201">
        <f>GETPIVOTDATA("Sum of Old G E-Learning",'Pivot Table for Fact Book'!$A$3,"State","VA","Type2","Two-Year")</f>
        <v>0</v>
      </c>
      <c r="AA82" s="201">
        <f>GETPIVOTDATA("Sum of New G E-Learning",'Pivot Table for Fact Book'!$A$3,"State","VA","Type2","Two-Year")</f>
        <v>0</v>
      </c>
      <c r="AB82" s="197">
        <f>GETPIVOTDATA("Sum of Old G E-Learning",'Pivot Table for Fact Book'!$A$3,"State","VA","type",12,"Type2","Technical")</f>
        <v>0</v>
      </c>
      <c r="AC82" s="200">
        <f>GETPIVOTDATA("Sum of New G E-Learning",'Pivot Table for Fact Book'!$A$3,"State","VA","type",12,"Type2","Technical")</f>
        <v>0</v>
      </c>
      <c r="AD82" s="200">
        <f>GETPIVOTDATA("Sum of Old G E-Learning",'Pivot Table for Fact Book'!$A$3,"State","VA","type",13,"Type2","Technical")</f>
        <v>0</v>
      </c>
      <c r="AE82" s="200">
        <f>GETPIVOTDATA("Sum of New G E-Learning",'Pivot Table for Fact Book'!$A$3,"State","VA","type",13,"Type2","Technical")</f>
        <v>0</v>
      </c>
      <c r="AF82" s="203">
        <f>GETPIVOTDATA("Sum of Old G E-Learning",'Pivot Table for Fact Book'!$A$3,"State","VA","Type2","Technical")</f>
        <v>0</v>
      </c>
      <c r="AG82" s="203">
        <f>GETPIVOTDATA("Sum of New G E-Learning",'Pivot Table for Fact Book'!$A$3,"State","VA","Type2","Technical")</f>
        <v>0</v>
      </c>
      <c r="AH82" s="14"/>
    </row>
    <row r="83" spans="1:34">
      <c r="A83" s="196" t="s">
        <v>190</v>
      </c>
      <c r="B83" s="197">
        <f>GETPIVOTDATA("Sum of Old G E-Learning",'Pivot Table for Fact Book'!$A$3,"State","WV","type",1,"Type2","Four-Year")</f>
        <v>26455</v>
      </c>
      <c r="C83" s="198">
        <f>GETPIVOTDATA("Sum of New G E-Learning",'Pivot Table for Fact Book'!$A$3,"State","WV","type",1,"Type2","Four-Year")</f>
        <v>27334</v>
      </c>
      <c r="D83" s="197">
        <f>GETPIVOTDATA("Sum of Old G E-Learning",'Pivot Table for Fact Book'!$A$3,"State","WV","type",2,"Type2","Four-Year")</f>
        <v>0</v>
      </c>
      <c r="E83" s="198">
        <f>GETPIVOTDATA("Sum of New G E-Learning",'Pivot Table for Fact Book'!$A$3,"State","WV","type",2,"Type2","Four-Year")</f>
        <v>0</v>
      </c>
      <c r="F83" s="197">
        <f>GETPIVOTDATA("Sum of Old G E-Learning",'Pivot Table for Fact Book'!$A$3,"State","WV","type",3,"Type2","Four-Year")</f>
        <v>12956</v>
      </c>
      <c r="G83" s="198">
        <f>GETPIVOTDATA("Sum of New G E-Learning",'Pivot Table for Fact Book'!$A$3,"State","WV","type",3,"Type2","Four-Year")</f>
        <v>12407</v>
      </c>
      <c r="H83" s="197">
        <f>GETPIVOTDATA("Sum of Old G E-Learning",'Pivot Table for Fact Book'!$A$3,"State","WV","type",4,"Type2","Four-Year")</f>
        <v>0</v>
      </c>
      <c r="I83" s="198">
        <f>GETPIVOTDATA("Sum of New G E-Learning",'Pivot Table for Fact Book'!$A$3,"State","WV","type",4,"Type2","Four-Year")</f>
        <v>0</v>
      </c>
      <c r="J83" s="197">
        <f>GETPIVOTDATA("Sum of Old G E-Learning",'Pivot Table for Fact Book'!$A$3,"State","WV","type",5,"Type2","Four-Year")</f>
        <v>4037</v>
      </c>
      <c r="K83" s="198">
        <f>GETPIVOTDATA("Sum of New G E-Learning",'Pivot Table for Fact Book'!$A$3,"State","WV","type",5,"Type2","Four-Year")</f>
        <v>4160</v>
      </c>
      <c r="L83" s="197">
        <f>GETPIVOTDATA("Sum of Old G E-Learning",'Pivot Table for Fact Book'!$A$3,"State","WV","type",6,"Type2","Four-Year")</f>
        <v>1548</v>
      </c>
      <c r="M83" s="198">
        <f>GETPIVOTDATA("Sum of New G E-Learning",'Pivot Table for Fact Book'!$A$3,"State","WV","type",6,"Type2","Four-Year")</f>
        <v>2391</v>
      </c>
      <c r="N83" s="197">
        <f>GETPIVOTDATA("Sum of Old G E-Learning",'Pivot Table for Fact Book'!$A$3,"State","WV","type",15,"Type2","Four-Year")</f>
        <v>0</v>
      </c>
      <c r="O83" s="198">
        <f>GETPIVOTDATA("Sum of New G E-Learning",'Pivot Table for Fact Book'!$A$3,"State","WV","type",15,"Type2","Four-Year")</f>
        <v>0</v>
      </c>
      <c r="P83" s="199">
        <f>GETPIVOTDATA("Sum of Old G E-Learning",'Pivot Table for Fact Book'!$A$3,"State","WV","Type2","Four-Year")</f>
        <v>44996</v>
      </c>
      <c r="Q83" s="199">
        <f>GETPIVOTDATA("Sum of New G E-Learning",'Pivot Table for Fact Book'!$A$3,"State","WV","Type2","Four-Year")</f>
        <v>46292</v>
      </c>
      <c r="R83" s="197">
        <f>GETPIVOTDATA("Sum of Old G E-Learning",'Pivot Table for Fact Book'!$A$3,"State","WV","type",7,"Type2","Two-Year")</f>
        <v>0</v>
      </c>
      <c r="S83" s="200">
        <f>GETPIVOTDATA("Sum of New G E-Learning",'Pivot Table for Fact Book'!$A$3,"State","WV","type",7,"Type2","Two-Year")</f>
        <v>0</v>
      </c>
      <c r="T83" s="200">
        <f>GETPIVOTDATA("Sum of Old G E-Learning",'Pivot Table for Fact Book'!$A$3,"State","WV","type",8,"Type2","Two-Year")</f>
        <v>0</v>
      </c>
      <c r="U83" s="200">
        <f>GETPIVOTDATA("Sum of New G E-Learning",'Pivot Table for Fact Book'!$A$3,"State","WV","type",8,"Type2","Two-Year")</f>
        <v>0</v>
      </c>
      <c r="V83" s="200">
        <f>GETPIVOTDATA("Sum of Old G E-Learning",'Pivot Table for Fact Book'!$A$3,"State","WV","type",9,"Type2","Two-Year")</f>
        <v>0</v>
      </c>
      <c r="W83" s="200">
        <f>GETPIVOTDATA("Sum of New G E-Learning",'Pivot Table for Fact Book'!$A$3,"State","WV","type",9,"Type2","Two-Year")</f>
        <v>0</v>
      </c>
      <c r="X83" s="200">
        <f>GETPIVOTDATA("Sum of Old G E-Learning",'Pivot Table for Fact Book'!$A$3,"State","WV","type",10,"Type2","Two-Year")</f>
        <v>0</v>
      </c>
      <c r="Y83" s="200">
        <f>GETPIVOTDATA("Sum of New G E-Learning",'Pivot Table for Fact Book'!$A$3,"State","WV","type",10,"Type2","Two-Year")</f>
        <v>0</v>
      </c>
      <c r="Z83" s="201">
        <f>GETPIVOTDATA("Sum of Old G E-Learning",'Pivot Table for Fact Book'!$A$3,"State","WV","Type2","Two-Year")</f>
        <v>0</v>
      </c>
      <c r="AA83" s="201">
        <f>GETPIVOTDATA("Sum of New G E-Learning",'Pivot Table for Fact Book'!$A$3,"State","WV","Type2","Two-Year")</f>
        <v>0</v>
      </c>
      <c r="AB83" s="197">
        <f>GETPIVOTDATA("Sum of Old G E-Learning",'Pivot Table for Fact Book'!$A$3,"State","WV","type",12,"Type2","Technical")</f>
        <v>0</v>
      </c>
      <c r="AC83" s="200">
        <f>GETPIVOTDATA("Sum of New G E-Learning",'Pivot Table for Fact Book'!$A$3,"State","WV","type",12,"Type2","Technical")</f>
        <v>0</v>
      </c>
      <c r="AD83" s="200">
        <f>GETPIVOTDATA("Sum of Old G E-Learning",'Pivot Table for Fact Book'!$A$3,"State","WV","type",13,"Type2","Technical")</f>
        <v>0</v>
      </c>
      <c r="AE83" s="200">
        <f>GETPIVOTDATA("Sum of New G E-Learning",'Pivot Table for Fact Book'!$A$3,"State","WV","type",13,"Type2","Technical")</f>
        <v>0</v>
      </c>
      <c r="AF83" s="203">
        <f>GETPIVOTDATA("Sum of Old G E-Learning",'Pivot Table for Fact Book'!$A$3,"State","WV","Type2","Technical")</f>
        <v>0</v>
      </c>
      <c r="AG83" s="203">
        <f>GETPIVOTDATA("Sum of New G E-Learning",'Pivot Table for Fact Book'!$A$3,"State","WV","Type2","Technical")</f>
        <v>0</v>
      </c>
      <c r="AH83" s="1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00"/>
  </sheetPr>
  <dimension ref="A1:T133"/>
  <sheetViews>
    <sheetView workbookViewId="0">
      <selection sqref="A1:XFD1048576"/>
    </sheetView>
  </sheetViews>
  <sheetFormatPr defaultColWidth="9.140625" defaultRowHeight="15"/>
  <cols>
    <col min="1" max="1" width="6.140625" style="15" customWidth="1"/>
    <col min="2" max="2" width="26.85546875" style="15" customWidth="1"/>
    <col min="3" max="6" width="11.42578125" style="15" customWidth="1"/>
    <col min="7" max="8" width="11.42578125" style="15" bestFit="1" customWidth="1"/>
    <col min="9" max="9" width="11.42578125" style="15" customWidth="1"/>
    <col min="10" max="16" width="11.5703125" style="15" customWidth="1"/>
    <col min="17" max="18" width="11.5703125" style="15" bestFit="1" customWidth="1"/>
    <col min="19" max="20" width="9" style="15" customWidth="1"/>
    <col min="21" max="22" width="10.5703125" style="15" bestFit="1" customWidth="1"/>
    <col min="23" max="16384" width="9.140625" style="15"/>
  </cols>
  <sheetData>
    <row r="1" spans="1:20">
      <c r="A1" s="15" t="s">
        <v>163</v>
      </c>
    </row>
    <row r="3" spans="1:20">
      <c r="C3" s="15" t="s">
        <v>86</v>
      </c>
      <c r="D3" s="15" t="s">
        <v>9</v>
      </c>
    </row>
    <row r="4" spans="1:20">
      <c r="C4" s="15" t="s">
        <v>87</v>
      </c>
      <c r="J4" s="15" t="s">
        <v>87</v>
      </c>
      <c r="K4" s="15" t="s">
        <v>88</v>
      </c>
      <c r="O4" s="15" t="s">
        <v>88</v>
      </c>
      <c r="P4" s="15" t="s">
        <v>89</v>
      </c>
      <c r="R4" s="15" t="s">
        <v>89</v>
      </c>
      <c r="S4" s="15">
        <v>99</v>
      </c>
      <c r="T4" s="15" t="s">
        <v>287</v>
      </c>
    </row>
    <row r="5" spans="1:20">
      <c r="A5" s="15" t="s">
        <v>4</v>
      </c>
      <c r="B5" s="15" t="s">
        <v>90</v>
      </c>
      <c r="C5" s="15">
        <v>1</v>
      </c>
      <c r="D5" s="15">
        <v>2</v>
      </c>
      <c r="E5" s="15">
        <v>3</v>
      </c>
      <c r="F5" s="15">
        <v>4</v>
      </c>
      <c r="G5" s="15">
        <v>5</v>
      </c>
      <c r="H5" s="15">
        <v>6</v>
      </c>
      <c r="I5" s="15">
        <v>15</v>
      </c>
      <c r="K5" s="15">
        <v>7</v>
      </c>
      <c r="L5" s="15">
        <v>8</v>
      </c>
      <c r="M5" s="15">
        <v>9</v>
      </c>
      <c r="N5" s="15">
        <v>10</v>
      </c>
      <c r="P5" s="15">
        <v>12</v>
      </c>
      <c r="Q5" s="15">
        <v>13</v>
      </c>
      <c r="S5" s="15">
        <v>99</v>
      </c>
    </row>
    <row r="6" spans="1:20">
      <c r="A6" s="15" t="s">
        <v>38</v>
      </c>
      <c r="B6" s="15" t="s">
        <v>164</v>
      </c>
      <c r="C6" s="15">
        <v>1500763</v>
      </c>
      <c r="D6" s="15">
        <v>157888</v>
      </c>
      <c r="E6" s="15">
        <v>931035</v>
      </c>
      <c r="F6" s="15">
        <v>413035</v>
      </c>
      <c r="G6" s="15">
        <v>125551</v>
      </c>
      <c r="H6" s="15">
        <v>83699</v>
      </c>
      <c r="J6" s="15">
        <v>3211971</v>
      </c>
      <c r="L6" s="15">
        <v>399930</v>
      </c>
      <c r="M6" s="15">
        <v>1280880</v>
      </c>
      <c r="N6" s="15">
        <v>405652</v>
      </c>
      <c r="O6" s="15">
        <v>2086462</v>
      </c>
      <c r="P6" s="15">
        <v>44426</v>
      </c>
      <c r="Q6" s="15">
        <v>20285</v>
      </c>
      <c r="R6" s="15">
        <v>64711</v>
      </c>
    </row>
    <row r="7" spans="1:20">
      <c r="B7" s="15" t="s">
        <v>168</v>
      </c>
      <c r="C7" s="15">
        <v>1549762</v>
      </c>
      <c r="D7" s="15">
        <v>161061</v>
      </c>
      <c r="E7" s="15">
        <v>961969</v>
      </c>
      <c r="F7" s="15">
        <v>441638</v>
      </c>
      <c r="G7" s="15">
        <v>123346</v>
      </c>
      <c r="H7" s="15">
        <v>89190</v>
      </c>
      <c r="J7" s="15">
        <v>3326966</v>
      </c>
      <c r="L7" s="15">
        <v>460895</v>
      </c>
      <c r="M7" s="15">
        <v>1409891</v>
      </c>
      <c r="N7" s="15">
        <v>442718</v>
      </c>
      <c r="O7" s="15">
        <v>2313504</v>
      </c>
      <c r="P7" s="15">
        <v>49717</v>
      </c>
      <c r="Q7" s="15">
        <v>79335</v>
      </c>
      <c r="R7" s="15">
        <v>129052</v>
      </c>
    </row>
    <row r="8" spans="1:20">
      <c r="B8" s="15" t="s">
        <v>165</v>
      </c>
      <c r="C8" s="15">
        <v>57832</v>
      </c>
      <c r="D8" s="15">
        <v>1091</v>
      </c>
      <c r="E8" s="15">
        <v>132909</v>
      </c>
      <c r="F8" s="15">
        <v>27298</v>
      </c>
      <c r="G8" s="15">
        <v>3421</v>
      </c>
      <c r="H8" s="15">
        <v>58559</v>
      </c>
      <c r="I8" s="15">
        <v>0</v>
      </c>
      <c r="J8" s="15">
        <v>281110</v>
      </c>
      <c r="K8" s="15">
        <v>0</v>
      </c>
      <c r="L8" s="15">
        <v>56646</v>
      </c>
      <c r="M8" s="15">
        <v>162237</v>
      </c>
      <c r="N8" s="15">
        <v>73329</v>
      </c>
      <c r="O8" s="15">
        <v>292212</v>
      </c>
      <c r="P8" s="15">
        <v>4551</v>
      </c>
      <c r="Q8" s="15">
        <v>0</v>
      </c>
      <c r="R8" s="15">
        <v>4551</v>
      </c>
      <c r="S8" s="15">
        <v>0</v>
      </c>
      <c r="T8" s="15">
        <v>0</v>
      </c>
    </row>
    <row r="9" spans="1:20">
      <c r="B9" s="15" t="s">
        <v>169</v>
      </c>
      <c r="C9" s="15">
        <v>65970</v>
      </c>
      <c r="D9" s="15">
        <v>1991</v>
      </c>
      <c r="E9" s="15">
        <v>157476</v>
      </c>
      <c r="F9" s="15">
        <v>40275</v>
      </c>
      <c r="G9" s="15">
        <v>3794</v>
      </c>
      <c r="H9" s="15">
        <v>63163</v>
      </c>
      <c r="I9" s="15">
        <v>0</v>
      </c>
      <c r="J9" s="15">
        <v>332669</v>
      </c>
      <c r="K9" s="15">
        <v>0</v>
      </c>
      <c r="L9" s="15">
        <v>89211</v>
      </c>
      <c r="M9" s="15">
        <v>210133</v>
      </c>
      <c r="N9" s="15">
        <v>82839</v>
      </c>
      <c r="O9" s="15">
        <v>382183</v>
      </c>
      <c r="P9" s="15">
        <v>3740</v>
      </c>
      <c r="Q9" s="15">
        <v>6456</v>
      </c>
      <c r="R9" s="15">
        <v>10196</v>
      </c>
      <c r="S9" s="15">
        <v>0</v>
      </c>
      <c r="T9" s="15">
        <v>0</v>
      </c>
    </row>
    <row r="10" spans="1:20">
      <c r="B10" s="15" t="s">
        <v>166</v>
      </c>
      <c r="C10" s="15">
        <v>203101</v>
      </c>
      <c r="D10" s="15">
        <v>21141</v>
      </c>
      <c r="E10" s="15">
        <v>105605</v>
      </c>
      <c r="F10" s="15">
        <v>46787.5</v>
      </c>
      <c r="G10" s="15">
        <v>95000</v>
      </c>
      <c r="H10" s="15">
        <v>0</v>
      </c>
      <c r="J10" s="15">
        <v>471634.5</v>
      </c>
      <c r="L10" s="15">
        <v>0</v>
      </c>
      <c r="M10" s="15">
        <v>0</v>
      </c>
      <c r="N10" s="15">
        <v>0</v>
      </c>
      <c r="O10" s="15">
        <v>0</v>
      </c>
      <c r="P10" s="15">
        <v>0</v>
      </c>
      <c r="Q10" s="15">
        <v>0</v>
      </c>
      <c r="R10" s="15">
        <v>0</v>
      </c>
    </row>
    <row r="11" spans="1:20">
      <c r="B11" s="15" t="s">
        <v>170</v>
      </c>
      <c r="C11" s="15">
        <v>235423</v>
      </c>
      <c r="D11" s="15">
        <v>21952</v>
      </c>
      <c r="E11" s="15">
        <v>105605</v>
      </c>
      <c r="F11" s="15">
        <v>49129</v>
      </c>
      <c r="G11" s="15">
        <v>57895</v>
      </c>
      <c r="H11" s="15">
        <v>0</v>
      </c>
      <c r="J11" s="15">
        <v>470004</v>
      </c>
      <c r="L11" s="15">
        <v>0</v>
      </c>
      <c r="M11" s="15">
        <v>0</v>
      </c>
      <c r="N11" s="15">
        <v>0</v>
      </c>
      <c r="O11" s="15">
        <v>0</v>
      </c>
      <c r="P11" s="15">
        <v>0</v>
      </c>
      <c r="Q11" s="15">
        <v>0</v>
      </c>
      <c r="R11" s="15">
        <v>0</v>
      </c>
    </row>
    <row r="12" spans="1:20">
      <c r="B12" s="15" t="s">
        <v>167</v>
      </c>
      <c r="C12" s="15">
        <v>26540</v>
      </c>
      <c r="D12" s="15">
        <v>3310</v>
      </c>
      <c r="E12" s="15">
        <v>28134</v>
      </c>
      <c r="F12" s="15">
        <v>10338</v>
      </c>
      <c r="G12" s="15">
        <v>44156</v>
      </c>
      <c r="H12" s="15">
        <v>0</v>
      </c>
      <c r="I12" s="15">
        <v>0</v>
      </c>
      <c r="J12" s="15">
        <v>112478</v>
      </c>
      <c r="K12" s="15">
        <v>0</v>
      </c>
      <c r="L12" s="15">
        <v>0</v>
      </c>
      <c r="M12" s="15">
        <v>0</v>
      </c>
      <c r="N12" s="15">
        <v>0</v>
      </c>
      <c r="O12" s="15">
        <v>0</v>
      </c>
      <c r="P12" s="15">
        <v>0</v>
      </c>
      <c r="Q12" s="15">
        <v>0</v>
      </c>
      <c r="R12" s="15">
        <v>0</v>
      </c>
      <c r="S12" s="15">
        <v>0</v>
      </c>
      <c r="T12" s="15">
        <v>0</v>
      </c>
    </row>
    <row r="13" spans="1:20">
      <c r="B13" s="15" t="s">
        <v>171</v>
      </c>
      <c r="C13" s="15">
        <v>25712</v>
      </c>
      <c r="D13" s="15">
        <v>3580</v>
      </c>
      <c r="E13" s="15">
        <v>31748</v>
      </c>
      <c r="F13" s="15">
        <v>10955</v>
      </c>
      <c r="G13" s="15">
        <v>42922</v>
      </c>
      <c r="H13" s="15">
        <v>0</v>
      </c>
      <c r="I13" s="15">
        <v>0</v>
      </c>
      <c r="J13" s="15">
        <v>114917</v>
      </c>
      <c r="K13" s="15">
        <v>0</v>
      </c>
      <c r="L13" s="15">
        <v>0</v>
      </c>
      <c r="M13" s="15">
        <v>0</v>
      </c>
      <c r="N13" s="15">
        <v>0</v>
      </c>
      <c r="O13" s="15">
        <v>0</v>
      </c>
      <c r="P13" s="15">
        <v>0</v>
      </c>
      <c r="Q13" s="15">
        <v>0</v>
      </c>
      <c r="R13" s="15">
        <v>0</v>
      </c>
      <c r="S13" s="15">
        <v>0</v>
      </c>
      <c r="T13" s="15">
        <v>0</v>
      </c>
    </row>
    <row r="14" spans="1:20">
      <c r="A14" s="15" t="s">
        <v>40</v>
      </c>
      <c r="B14" s="15" t="s">
        <v>164</v>
      </c>
      <c r="C14" s="15">
        <v>440897</v>
      </c>
      <c r="E14" s="15">
        <v>774318</v>
      </c>
      <c r="F14" s="15">
        <v>275738</v>
      </c>
      <c r="G14" s="15">
        <v>143643</v>
      </c>
      <c r="H14" s="15">
        <v>273473</v>
      </c>
      <c r="J14" s="15">
        <v>1908069</v>
      </c>
      <c r="L14" s="15">
        <v>212397</v>
      </c>
      <c r="M14" s="15">
        <v>325761</v>
      </c>
      <c r="N14" s="15">
        <v>681617</v>
      </c>
      <c r="O14" s="15">
        <v>1219775</v>
      </c>
    </row>
    <row r="15" spans="1:20">
      <c r="B15" s="15" t="s">
        <v>168</v>
      </c>
      <c r="C15" s="15">
        <v>473313</v>
      </c>
      <c r="E15" s="15">
        <v>778618</v>
      </c>
      <c r="F15" s="15">
        <v>302019</v>
      </c>
      <c r="G15" s="15">
        <v>152533</v>
      </c>
      <c r="H15" s="15">
        <v>284271</v>
      </c>
      <c r="J15" s="15">
        <v>1990754</v>
      </c>
      <c r="L15" s="15">
        <v>246096</v>
      </c>
      <c r="M15" s="15">
        <v>364143</v>
      </c>
      <c r="N15" s="15">
        <v>743120</v>
      </c>
      <c r="O15" s="15">
        <v>1353359</v>
      </c>
    </row>
    <row r="16" spans="1:20">
      <c r="B16" s="15" t="s">
        <v>165</v>
      </c>
      <c r="C16" s="15">
        <v>9164</v>
      </c>
      <c r="D16" s="15">
        <v>0</v>
      </c>
      <c r="E16" s="15">
        <v>105437</v>
      </c>
      <c r="F16" s="15">
        <v>30996</v>
      </c>
      <c r="G16" s="15">
        <v>15504</v>
      </c>
      <c r="H16" s="15">
        <v>30171</v>
      </c>
      <c r="I16" s="15">
        <v>0</v>
      </c>
      <c r="J16" s="15">
        <v>191272</v>
      </c>
      <c r="K16" s="15">
        <v>0</v>
      </c>
      <c r="L16" s="15">
        <v>62285</v>
      </c>
      <c r="M16" s="15">
        <v>56682</v>
      </c>
      <c r="N16" s="15">
        <v>106654</v>
      </c>
      <c r="O16" s="15">
        <v>225621</v>
      </c>
      <c r="P16" s="15">
        <v>0</v>
      </c>
      <c r="Q16" s="15">
        <v>0</v>
      </c>
      <c r="R16" s="15">
        <v>0</v>
      </c>
      <c r="S16" s="15">
        <v>0</v>
      </c>
      <c r="T16" s="15">
        <v>0</v>
      </c>
    </row>
    <row r="17" spans="1:20">
      <c r="B17" s="15" t="s">
        <v>169</v>
      </c>
      <c r="C17" s="15">
        <v>15109</v>
      </c>
      <c r="D17" s="15">
        <v>0</v>
      </c>
      <c r="E17" s="15">
        <v>118459</v>
      </c>
      <c r="F17" s="15">
        <v>38099</v>
      </c>
      <c r="G17" s="15">
        <v>17482</v>
      </c>
      <c r="H17" s="15">
        <v>30094</v>
      </c>
      <c r="I17" s="15">
        <v>0</v>
      </c>
      <c r="J17" s="15">
        <v>219243</v>
      </c>
      <c r="K17" s="15">
        <v>0</v>
      </c>
      <c r="L17" s="15">
        <v>77907</v>
      </c>
      <c r="M17" s="15">
        <v>66618</v>
      </c>
      <c r="N17" s="15">
        <v>131038</v>
      </c>
      <c r="O17" s="15">
        <v>275563</v>
      </c>
      <c r="P17" s="15">
        <v>0</v>
      </c>
      <c r="Q17" s="15">
        <v>0</v>
      </c>
      <c r="R17" s="15">
        <v>0</v>
      </c>
      <c r="S17" s="15">
        <v>0</v>
      </c>
      <c r="T17" s="15">
        <v>0</v>
      </c>
    </row>
    <row r="18" spans="1:20">
      <c r="B18" s="15" t="s">
        <v>166</v>
      </c>
      <c r="C18" s="15">
        <v>72232</v>
      </c>
      <c r="E18" s="15">
        <v>127114</v>
      </c>
      <c r="F18" s="15">
        <v>20858</v>
      </c>
      <c r="G18" s="15">
        <v>10277</v>
      </c>
      <c r="H18" s="15">
        <v>2217</v>
      </c>
      <c r="J18" s="15">
        <v>232698</v>
      </c>
      <c r="L18" s="15">
        <v>0</v>
      </c>
      <c r="M18" s="15">
        <v>0</v>
      </c>
      <c r="N18" s="15">
        <v>0</v>
      </c>
      <c r="O18" s="15">
        <v>0</v>
      </c>
    </row>
    <row r="19" spans="1:20">
      <c r="B19" s="15" t="s">
        <v>170</v>
      </c>
      <c r="C19" s="15">
        <v>75584</v>
      </c>
      <c r="E19" s="15">
        <v>153797</v>
      </c>
      <c r="F19" s="15">
        <v>20332</v>
      </c>
      <c r="G19" s="15">
        <v>10629</v>
      </c>
      <c r="H19" s="15">
        <v>2132</v>
      </c>
      <c r="J19" s="15">
        <v>262474</v>
      </c>
      <c r="L19" s="15">
        <v>0</v>
      </c>
      <c r="M19" s="15">
        <v>0</v>
      </c>
      <c r="N19" s="15">
        <v>0</v>
      </c>
      <c r="O19" s="15">
        <v>0</v>
      </c>
    </row>
    <row r="20" spans="1:20">
      <c r="B20" s="15" t="s">
        <v>167</v>
      </c>
      <c r="C20" s="15">
        <v>13077</v>
      </c>
      <c r="D20" s="15">
        <v>0</v>
      </c>
      <c r="E20" s="15">
        <v>39821</v>
      </c>
      <c r="F20" s="15">
        <v>3191</v>
      </c>
      <c r="G20" s="15">
        <v>5424</v>
      </c>
      <c r="H20" s="15">
        <v>327</v>
      </c>
      <c r="I20" s="15">
        <v>0</v>
      </c>
      <c r="J20" s="15">
        <v>61840</v>
      </c>
      <c r="K20" s="15">
        <v>0</v>
      </c>
      <c r="L20" s="15">
        <v>0</v>
      </c>
      <c r="M20" s="15">
        <v>0</v>
      </c>
      <c r="N20" s="15">
        <v>0</v>
      </c>
      <c r="O20" s="15">
        <v>0</v>
      </c>
      <c r="P20" s="15">
        <v>0</v>
      </c>
      <c r="Q20" s="15">
        <v>0</v>
      </c>
      <c r="R20" s="15">
        <v>0</v>
      </c>
      <c r="S20" s="15">
        <v>0</v>
      </c>
      <c r="T20" s="15">
        <v>0</v>
      </c>
    </row>
    <row r="21" spans="1:20">
      <c r="B21" s="15" t="s">
        <v>171</v>
      </c>
      <c r="C21" s="15">
        <v>15067</v>
      </c>
      <c r="D21" s="15">
        <v>0</v>
      </c>
      <c r="E21" s="15">
        <v>65000</v>
      </c>
      <c r="F21" s="15">
        <v>5316</v>
      </c>
      <c r="G21" s="15">
        <v>6380</v>
      </c>
      <c r="H21" s="15">
        <v>417</v>
      </c>
      <c r="I21" s="15">
        <v>0</v>
      </c>
      <c r="J21" s="15">
        <v>92180</v>
      </c>
      <c r="K21" s="15">
        <v>0</v>
      </c>
      <c r="L21" s="15">
        <v>0</v>
      </c>
      <c r="M21" s="15">
        <v>0</v>
      </c>
      <c r="N21" s="15">
        <v>0</v>
      </c>
      <c r="O21" s="15">
        <v>0</v>
      </c>
      <c r="P21" s="15">
        <v>0</v>
      </c>
      <c r="Q21" s="15">
        <v>0</v>
      </c>
      <c r="R21" s="15">
        <v>0</v>
      </c>
      <c r="S21" s="15">
        <v>0</v>
      </c>
      <c r="T21" s="15">
        <v>0</v>
      </c>
    </row>
    <row r="22" spans="1:20">
      <c r="A22" s="15" t="s">
        <v>72</v>
      </c>
      <c r="B22" s="15" t="s">
        <v>164</v>
      </c>
    </row>
    <row r="23" spans="1:20">
      <c r="B23" s="15" t="s">
        <v>168</v>
      </c>
    </row>
    <row r="24" spans="1:20">
      <c r="B24" s="15" t="s">
        <v>165</v>
      </c>
      <c r="C24" s="15">
        <v>0</v>
      </c>
      <c r="D24" s="15">
        <v>0</v>
      </c>
      <c r="E24" s="15">
        <v>0</v>
      </c>
      <c r="F24" s="15">
        <v>0</v>
      </c>
      <c r="G24" s="15">
        <v>0</v>
      </c>
      <c r="H24" s="15">
        <v>0</v>
      </c>
      <c r="I24" s="15">
        <v>0</v>
      </c>
      <c r="J24" s="15">
        <v>0</v>
      </c>
      <c r="K24" s="15">
        <v>0</v>
      </c>
      <c r="L24" s="15">
        <v>0</v>
      </c>
      <c r="M24" s="15">
        <v>0</v>
      </c>
      <c r="N24" s="15">
        <v>0</v>
      </c>
      <c r="O24" s="15">
        <v>0</v>
      </c>
      <c r="P24" s="15">
        <v>0</v>
      </c>
      <c r="Q24" s="15">
        <v>0</v>
      </c>
      <c r="R24" s="15">
        <v>0</v>
      </c>
      <c r="S24" s="15">
        <v>0</v>
      </c>
      <c r="T24" s="15">
        <v>0</v>
      </c>
    </row>
    <row r="25" spans="1:20">
      <c r="B25" s="15" t="s">
        <v>169</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row>
    <row r="26" spans="1:20">
      <c r="B26" s="15" t="s">
        <v>166</v>
      </c>
    </row>
    <row r="27" spans="1:20">
      <c r="B27" s="15" t="s">
        <v>170</v>
      </c>
    </row>
    <row r="28" spans="1:20">
      <c r="B28" s="15" t="s">
        <v>167</v>
      </c>
      <c r="C28" s="15">
        <v>0</v>
      </c>
      <c r="D28" s="15">
        <v>0</v>
      </c>
      <c r="E28" s="15">
        <v>0</v>
      </c>
      <c r="F28" s="15">
        <v>0</v>
      </c>
      <c r="G28" s="15">
        <v>0</v>
      </c>
      <c r="H28" s="15">
        <v>0</v>
      </c>
      <c r="I28" s="15">
        <v>0</v>
      </c>
      <c r="J28" s="15">
        <v>0</v>
      </c>
      <c r="K28" s="15">
        <v>0</v>
      </c>
      <c r="L28" s="15">
        <v>0</v>
      </c>
      <c r="M28" s="15">
        <v>0</v>
      </c>
      <c r="N28" s="15">
        <v>0</v>
      </c>
      <c r="O28" s="15">
        <v>0</v>
      </c>
      <c r="P28" s="15">
        <v>0</v>
      </c>
      <c r="Q28" s="15">
        <v>0</v>
      </c>
      <c r="R28" s="15">
        <v>0</v>
      </c>
      <c r="S28" s="15">
        <v>0</v>
      </c>
      <c r="T28" s="15">
        <v>0</v>
      </c>
    </row>
    <row r="29" spans="1:20">
      <c r="B29" s="15" t="s">
        <v>171</v>
      </c>
      <c r="C29" s="15">
        <v>0</v>
      </c>
      <c r="D29" s="15">
        <v>0</v>
      </c>
      <c r="E29" s="15">
        <v>0</v>
      </c>
      <c r="F29" s="15">
        <v>0</v>
      </c>
      <c r="G29" s="15">
        <v>0</v>
      </c>
      <c r="H29" s="15">
        <v>0</v>
      </c>
      <c r="I29" s="15">
        <v>0</v>
      </c>
      <c r="J29" s="15">
        <v>0</v>
      </c>
      <c r="K29" s="15">
        <v>0</v>
      </c>
      <c r="L29" s="15">
        <v>0</v>
      </c>
      <c r="M29" s="15">
        <v>0</v>
      </c>
      <c r="N29" s="15">
        <v>0</v>
      </c>
      <c r="O29" s="15">
        <v>0</v>
      </c>
      <c r="P29" s="15">
        <v>0</v>
      </c>
      <c r="Q29" s="15">
        <v>0</v>
      </c>
      <c r="R29" s="15">
        <v>0</v>
      </c>
      <c r="S29" s="15">
        <v>0</v>
      </c>
      <c r="T29" s="15">
        <v>0</v>
      </c>
    </row>
    <row r="30" spans="1:20">
      <c r="A30" s="15" t="s">
        <v>73</v>
      </c>
      <c r="B30" s="15" t="s">
        <v>164</v>
      </c>
      <c r="C30" s="15">
        <v>4994770</v>
      </c>
      <c r="D30" s="15">
        <v>539048</v>
      </c>
      <c r="E30" s="15">
        <v>905161</v>
      </c>
      <c r="F30" s="15">
        <v>247828</v>
      </c>
      <c r="H30" s="15">
        <v>27872</v>
      </c>
      <c r="J30" s="15">
        <v>6714679</v>
      </c>
      <c r="K30" s="15">
        <v>2917184</v>
      </c>
      <c r="L30" s="15">
        <v>5900906</v>
      </c>
      <c r="M30" s="15">
        <v>451344</v>
      </c>
      <c r="N30" s="15">
        <v>50548</v>
      </c>
      <c r="O30" s="15">
        <v>9319982</v>
      </c>
    </row>
    <row r="31" spans="1:20">
      <c r="B31" s="15" t="s">
        <v>168</v>
      </c>
      <c r="C31" s="15">
        <v>5146567</v>
      </c>
      <c r="D31" s="15">
        <v>570235</v>
      </c>
      <c r="E31" s="15">
        <v>953563</v>
      </c>
      <c r="F31" s="15">
        <v>268823</v>
      </c>
      <c r="H31" s="15">
        <v>27680</v>
      </c>
      <c r="J31" s="15">
        <v>6966868</v>
      </c>
      <c r="K31" s="15">
        <v>3200089</v>
      </c>
      <c r="L31" s="15">
        <v>6526281</v>
      </c>
      <c r="M31" s="15">
        <v>484330</v>
      </c>
      <c r="N31" s="15">
        <v>55835</v>
      </c>
      <c r="O31" s="15">
        <v>10266535</v>
      </c>
    </row>
    <row r="32" spans="1:20">
      <c r="B32" s="15" t="s">
        <v>165</v>
      </c>
      <c r="C32" s="15">
        <v>946302</v>
      </c>
      <c r="D32" s="15">
        <v>33035</v>
      </c>
      <c r="E32" s="15">
        <v>94745</v>
      </c>
      <c r="F32" s="15">
        <v>43351</v>
      </c>
      <c r="G32" s="15">
        <v>0</v>
      </c>
      <c r="H32" s="15">
        <v>0</v>
      </c>
      <c r="I32" s="15">
        <v>0</v>
      </c>
      <c r="J32" s="15">
        <v>1117433</v>
      </c>
      <c r="K32" s="15">
        <v>490804</v>
      </c>
      <c r="L32" s="15">
        <v>1059229</v>
      </c>
      <c r="M32" s="15">
        <v>99872</v>
      </c>
      <c r="N32" s="15">
        <v>10732</v>
      </c>
      <c r="O32" s="15">
        <v>1660637</v>
      </c>
      <c r="P32" s="15">
        <v>0</v>
      </c>
      <c r="Q32" s="15">
        <v>0</v>
      </c>
      <c r="R32" s="15">
        <v>0</v>
      </c>
      <c r="S32" s="15">
        <v>0</v>
      </c>
      <c r="T32" s="15">
        <v>0</v>
      </c>
    </row>
    <row r="33" spans="1:20">
      <c r="B33" s="15" t="s">
        <v>169</v>
      </c>
      <c r="C33" s="15">
        <v>999740</v>
      </c>
      <c r="D33" s="15">
        <v>37041</v>
      </c>
      <c r="E33" s="15">
        <v>130797</v>
      </c>
      <c r="F33" s="15">
        <v>51796</v>
      </c>
      <c r="G33" s="15">
        <v>0</v>
      </c>
      <c r="H33" s="15">
        <v>0</v>
      </c>
      <c r="I33" s="15">
        <v>0</v>
      </c>
      <c r="J33" s="15">
        <v>1219374</v>
      </c>
      <c r="K33" s="15">
        <v>608906</v>
      </c>
      <c r="L33" s="15">
        <v>1527704</v>
      </c>
      <c r="M33" s="15">
        <v>136382</v>
      </c>
      <c r="N33" s="15">
        <v>15826</v>
      </c>
      <c r="O33" s="15">
        <v>2288818</v>
      </c>
      <c r="P33" s="15">
        <v>0</v>
      </c>
      <c r="Q33" s="15">
        <v>0</v>
      </c>
      <c r="R33" s="15">
        <v>0</v>
      </c>
      <c r="S33" s="15">
        <v>0</v>
      </c>
      <c r="T33" s="15">
        <v>0</v>
      </c>
    </row>
    <row r="34" spans="1:20">
      <c r="B34" s="15" t="s">
        <v>166</v>
      </c>
      <c r="C34" s="15">
        <v>1013960.3</v>
      </c>
      <c r="D34" s="15">
        <v>78594</v>
      </c>
      <c r="E34" s="15">
        <v>111856</v>
      </c>
      <c r="F34" s="15">
        <v>21548</v>
      </c>
      <c r="H34" s="15">
        <v>0</v>
      </c>
      <c r="J34" s="15">
        <v>1225958.3</v>
      </c>
      <c r="K34" s="15">
        <v>0</v>
      </c>
      <c r="L34" s="15">
        <v>0</v>
      </c>
      <c r="M34" s="15">
        <v>0</v>
      </c>
      <c r="N34" s="15">
        <v>0</v>
      </c>
      <c r="O34" s="15">
        <v>0</v>
      </c>
    </row>
    <row r="35" spans="1:20">
      <c r="B35" s="15" t="s">
        <v>170</v>
      </c>
      <c r="C35" s="15">
        <v>1045371</v>
      </c>
      <c r="D35" s="15">
        <v>80819</v>
      </c>
      <c r="E35" s="15">
        <v>114242</v>
      </c>
      <c r="F35" s="15">
        <v>24078</v>
      </c>
      <c r="H35" s="15">
        <v>0</v>
      </c>
      <c r="J35" s="15">
        <v>1264510</v>
      </c>
      <c r="K35" s="15">
        <v>0</v>
      </c>
      <c r="L35" s="15">
        <v>0</v>
      </c>
      <c r="M35" s="15">
        <v>0</v>
      </c>
      <c r="N35" s="15">
        <v>0</v>
      </c>
      <c r="O35" s="15">
        <v>0</v>
      </c>
    </row>
    <row r="36" spans="1:20">
      <c r="B36" s="15" t="s">
        <v>167</v>
      </c>
      <c r="C36" s="15">
        <v>189534</v>
      </c>
      <c r="D36" s="15">
        <v>19924</v>
      </c>
      <c r="E36" s="15">
        <v>21931</v>
      </c>
      <c r="F36" s="15">
        <v>8647</v>
      </c>
      <c r="G36" s="15">
        <v>0</v>
      </c>
      <c r="H36" s="15">
        <v>0</v>
      </c>
      <c r="I36" s="15">
        <v>0</v>
      </c>
      <c r="J36" s="15">
        <v>240036</v>
      </c>
      <c r="K36" s="15">
        <v>0</v>
      </c>
      <c r="L36" s="15">
        <v>0</v>
      </c>
      <c r="M36" s="15">
        <v>0</v>
      </c>
      <c r="N36" s="15">
        <v>0</v>
      </c>
      <c r="O36" s="15">
        <v>0</v>
      </c>
      <c r="P36" s="15">
        <v>0</v>
      </c>
      <c r="Q36" s="15">
        <v>0</v>
      </c>
      <c r="R36" s="15">
        <v>0</v>
      </c>
      <c r="S36" s="15">
        <v>0</v>
      </c>
      <c r="T36" s="15">
        <v>0</v>
      </c>
    </row>
    <row r="37" spans="1:20">
      <c r="B37" s="15" t="s">
        <v>171</v>
      </c>
      <c r="C37" s="15">
        <v>233454</v>
      </c>
      <c r="D37" s="15">
        <v>19659</v>
      </c>
      <c r="E37" s="15">
        <v>26241</v>
      </c>
      <c r="F37" s="15">
        <v>10149</v>
      </c>
      <c r="G37" s="15">
        <v>0</v>
      </c>
      <c r="H37" s="15">
        <v>0</v>
      </c>
      <c r="I37" s="15">
        <v>0</v>
      </c>
      <c r="J37" s="15">
        <v>289503</v>
      </c>
      <c r="K37" s="15">
        <v>0</v>
      </c>
      <c r="L37" s="15">
        <v>0</v>
      </c>
      <c r="M37" s="15">
        <v>0</v>
      </c>
      <c r="N37" s="15">
        <v>0</v>
      </c>
      <c r="O37" s="15">
        <v>0</v>
      </c>
      <c r="P37" s="15">
        <v>0</v>
      </c>
      <c r="Q37" s="15">
        <v>0</v>
      </c>
      <c r="R37" s="15">
        <v>0</v>
      </c>
      <c r="S37" s="15">
        <v>0</v>
      </c>
      <c r="T37" s="15">
        <v>0</v>
      </c>
    </row>
    <row r="38" spans="1:20">
      <c r="A38" s="15" t="s">
        <v>74</v>
      </c>
      <c r="B38" s="15" t="s">
        <v>164</v>
      </c>
      <c r="C38" s="15">
        <v>0</v>
      </c>
      <c r="D38" s="15">
        <v>0</v>
      </c>
      <c r="E38" s="15">
        <v>0</v>
      </c>
      <c r="F38" s="15">
        <v>0</v>
      </c>
      <c r="G38" s="15">
        <v>0</v>
      </c>
      <c r="H38" s="15">
        <v>0</v>
      </c>
      <c r="J38" s="15">
        <v>0</v>
      </c>
      <c r="K38" s="15">
        <v>0</v>
      </c>
      <c r="L38" s="15">
        <v>0</v>
      </c>
      <c r="M38" s="15">
        <v>0</v>
      </c>
      <c r="N38" s="15">
        <v>0</v>
      </c>
      <c r="O38" s="15">
        <v>0</v>
      </c>
      <c r="P38" s="15">
        <v>4260087.1999999993</v>
      </c>
      <c r="Q38" s="15">
        <v>74022.3</v>
      </c>
      <c r="R38" s="15">
        <v>4334109.4999999991</v>
      </c>
      <c r="S38" s="15">
        <v>0</v>
      </c>
      <c r="T38" s="15">
        <v>0</v>
      </c>
    </row>
    <row r="39" spans="1:20">
      <c r="B39" s="15" t="s">
        <v>168</v>
      </c>
      <c r="C39" s="15">
        <v>0</v>
      </c>
      <c r="D39" s="15">
        <v>0</v>
      </c>
      <c r="E39" s="15">
        <v>0</v>
      </c>
      <c r="F39" s="15">
        <v>0</v>
      </c>
      <c r="G39" s="15">
        <v>0</v>
      </c>
      <c r="H39" s="15">
        <v>0</v>
      </c>
      <c r="J39" s="15">
        <v>0</v>
      </c>
      <c r="K39" s="15">
        <v>0</v>
      </c>
      <c r="L39" s="15">
        <v>0</v>
      </c>
      <c r="M39" s="15">
        <v>0</v>
      </c>
      <c r="N39" s="15">
        <v>0</v>
      </c>
      <c r="O39" s="15">
        <v>0</v>
      </c>
      <c r="P39" s="15">
        <v>4599720.7</v>
      </c>
      <c r="Q39" s="15">
        <v>37373</v>
      </c>
      <c r="R39" s="15">
        <v>4637093.7</v>
      </c>
      <c r="S39" s="15">
        <v>0</v>
      </c>
      <c r="T39" s="15">
        <v>0</v>
      </c>
    </row>
    <row r="40" spans="1:20">
      <c r="B40" s="15" t="s">
        <v>165</v>
      </c>
      <c r="C40" s="15">
        <v>0</v>
      </c>
      <c r="D40" s="15">
        <v>0</v>
      </c>
      <c r="E40" s="15">
        <v>0</v>
      </c>
      <c r="F40" s="15">
        <v>0</v>
      </c>
      <c r="G40" s="15">
        <v>0</v>
      </c>
      <c r="H40" s="15">
        <v>0</v>
      </c>
      <c r="I40" s="15">
        <v>0</v>
      </c>
      <c r="J40" s="15">
        <v>0</v>
      </c>
      <c r="K40" s="15">
        <v>0</v>
      </c>
      <c r="L40" s="15">
        <v>0</v>
      </c>
      <c r="M40" s="15">
        <v>0</v>
      </c>
      <c r="N40" s="15">
        <v>0</v>
      </c>
      <c r="O40" s="15">
        <v>0</v>
      </c>
      <c r="P40" s="15">
        <v>747421</v>
      </c>
      <c r="Q40" s="15">
        <v>7847</v>
      </c>
      <c r="R40" s="15">
        <v>755268</v>
      </c>
      <c r="S40" s="15">
        <v>0</v>
      </c>
      <c r="T40" s="15">
        <v>0</v>
      </c>
    </row>
    <row r="41" spans="1:20">
      <c r="B41" s="15" t="s">
        <v>169</v>
      </c>
      <c r="C41" s="15">
        <v>0</v>
      </c>
      <c r="D41" s="15">
        <v>0</v>
      </c>
      <c r="E41" s="15">
        <v>0</v>
      </c>
      <c r="F41" s="15">
        <v>0</v>
      </c>
      <c r="G41" s="15">
        <v>0</v>
      </c>
      <c r="H41" s="15">
        <v>0</v>
      </c>
      <c r="I41" s="15">
        <v>0</v>
      </c>
      <c r="J41" s="15">
        <v>0</v>
      </c>
      <c r="K41" s="15">
        <v>0</v>
      </c>
      <c r="L41" s="15">
        <v>0</v>
      </c>
      <c r="M41" s="15">
        <v>0</v>
      </c>
      <c r="N41" s="15">
        <v>0</v>
      </c>
      <c r="O41" s="15">
        <v>0</v>
      </c>
      <c r="P41" s="15">
        <v>920177</v>
      </c>
      <c r="Q41" s="15">
        <v>6126</v>
      </c>
      <c r="R41" s="15">
        <v>926303</v>
      </c>
      <c r="S41" s="15">
        <v>0</v>
      </c>
      <c r="T41" s="15">
        <v>0</v>
      </c>
    </row>
    <row r="42" spans="1:20">
      <c r="B42" s="15" t="s">
        <v>166</v>
      </c>
      <c r="C42" s="15">
        <v>0</v>
      </c>
      <c r="D42" s="15">
        <v>0</v>
      </c>
      <c r="E42" s="15">
        <v>0</v>
      </c>
      <c r="F42" s="15">
        <v>0</v>
      </c>
      <c r="G42" s="15">
        <v>0</v>
      </c>
      <c r="H42" s="15">
        <v>0</v>
      </c>
      <c r="J42" s="15">
        <v>0</v>
      </c>
      <c r="K42" s="15">
        <v>0</v>
      </c>
      <c r="L42" s="15">
        <v>0</v>
      </c>
      <c r="M42" s="15">
        <v>0</v>
      </c>
      <c r="N42" s="15">
        <v>0</v>
      </c>
      <c r="O42" s="15">
        <v>0</v>
      </c>
      <c r="P42" s="15">
        <v>0</v>
      </c>
      <c r="Q42" s="15">
        <v>0</v>
      </c>
      <c r="R42" s="15">
        <v>0</v>
      </c>
      <c r="S42" s="15">
        <v>0</v>
      </c>
      <c r="T42" s="15">
        <v>0</v>
      </c>
    </row>
    <row r="43" spans="1:20">
      <c r="B43" s="15" t="s">
        <v>170</v>
      </c>
      <c r="C43" s="15">
        <v>0</v>
      </c>
      <c r="D43" s="15">
        <v>0</v>
      </c>
      <c r="E43" s="15">
        <v>0</v>
      </c>
      <c r="F43" s="15">
        <v>0</v>
      </c>
      <c r="G43" s="15">
        <v>0</v>
      </c>
      <c r="H43" s="15">
        <v>0</v>
      </c>
      <c r="J43" s="15">
        <v>0</v>
      </c>
      <c r="K43" s="15">
        <v>0</v>
      </c>
      <c r="L43" s="15">
        <v>0</v>
      </c>
      <c r="M43" s="15">
        <v>0</v>
      </c>
      <c r="N43" s="15">
        <v>0</v>
      </c>
      <c r="O43" s="15">
        <v>0</v>
      </c>
      <c r="P43" s="15">
        <v>0</v>
      </c>
      <c r="Q43" s="15">
        <v>0</v>
      </c>
      <c r="R43" s="15">
        <v>0</v>
      </c>
      <c r="S43" s="15">
        <v>0</v>
      </c>
      <c r="T43" s="15">
        <v>0</v>
      </c>
    </row>
    <row r="44" spans="1:20">
      <c r="B44" s="15" t="s">
        <v>167</v>
      </c>
      <c r="C44" s="15">
        <v>0</v>
      </c>
      <c r="D44" s="15">
        <v>0</v>
      </c>
      <c r="E44" s="15">
        <v>0</v>
      </c>
      <c r="F44" s="15">
        <v>0</v>
      </c>
      <c r="G44" s="15">
        <v>0</v>
      </c>
      <c r="H44" s="15">
        <v>0</v>
      </c>
      <c r="I44" s="15">
        <v>0</v>
      </c>
      <c r="J44" s="15">
        <v>0</v>
      </c>
      <c r="K44" s="15">
        <v>0</v>
      </c>
      <c r="L44" s="15">
        <v>0</v>
      </c>
      <c r="M44" s="15">
        <v>0</v>
      </c>
      <c r="N44" s="15">
        <v>0</v>
      </c>
      <c r="O44" s="15">
        <v>0</v>
      </c>
      <c r="P44" s="15">
        <v>0</v>
      </c>
      <c r="Q44" s="15">
        <v>0</v>
      </c>
      <c r="R44" s="15">
        <v>0</v>
      </c>
      <c r="S44" s="15">
        <v>0</v>
      </c>
      <c r="T44" s="15">
        <v>0</v>
      </c>
    </row>
    <row r="45" spans="1:20">
      <c r="B45" s="15" t="s">
        <v>171</v>
      </c>
      <c r="C45" s="15">
        <v>0</v>
      </c>
      <c r="D45" s="15">
        <v>0</v>
      </c>
      <c r="E45" s="15">
        <v>0</v>
      </c>
      <c r="F45" s="15">
        <v>0</v>
      </c>
      <c r="G45" s="15">
        <v>0</v>
      </c>
      <c r="H45" s="15">
        <v>0</v>
      </c>
      <c r="I45" s="15">
        <v>0</v>
      </c>
      <c r="J45" s="15">
        <v>0</v>
      </c>
      <c r="K45" s="15">
        <v>0</v>
      </c>
      <c r="L45" s="15">
        <v>0</v>
      </c>
      <c r="M45" s="15">
        <v>0</v>
      </c>
      <c r="N45" s="15">
        <v>0</v>
      </c>
      <c r="O45" s="15">
        <v>0</v>
      </c>
      <c r="P45" s="15">
        <v>0</v>
      </c>
      <c r="Q45" s="15">
        <v>0</v>
      </c>
      <c r="R45" s="15">
        <v>0</v>
      </c>
      <c r="S45" s="15">
        <v>0</v>
      </c>
      <c r="T45" s="15">
        <v>0</v>
      </c>
    </row>
    <row r="46" spans="1:20">
      <c r="A46" s="15" t="s">
        <v>75</v>
      </c>
      <c r="B46" s="15" t="s">
        <v>164</v>
      </c>
      <c r="C46" s="15">
        <v>910882</v>
      </c>
      <c r="E46" s="15">
        <v>1233592</v>
      </c>
      <c r="F46" s="15">
        <v>392633</v>
      </c>
      <c r="J46" s="15">
        <v>2537107</v>
      </c>
      <c r="L46" s="15">
        <v>508819</v>
      </c>
      <c r="M46" s="15">
        <v>815270</v>
      </c>
      <c r="N46" s="15">
        <v>167664</v>
      </c>
      <c r="O46" s="15">
        <v>1491753</v>
      </c>
      <c r="P46" s="15">
        <v>110495</v>
      </c>
      <c r="R46" s="15">
        <v>110495</v>
      </c>
    </row>
    <row r="47" spans="1:20">
      <c r="B47" s="15" t="s">
        <v>168</v>
      </c>
      <c r="C47" s="15">
        <v>933808</v>
      </c>
      <c r="E47" s="15">
        <v>1247754</v>
      </c>
      <c r="F47" s="15">
        <v>398429</v>
      </c>
      <c r="J47" s="15">
        <v>2579991</v>
      </c>
      <c r="L47" s="15">
        <v>553195</v>
      </c>
      <c r="M47" s="15">
        <v>937563</v>
      </c>
      <c r="N47" s="15">
        <v>190507</v>
      </c>
      <c r="O47" s="15">
        <v>1681265</v>
      </c>
      <c r="P47" s="15">
        <v>137533</v>
      </c>
      <c r="R47" s="15">
        <v>137533</v>
      </c>
    </row>
    <row r="48" spans="1:20">
      <c r="B48" s="15" t="s">
        <v>165</v>
      </c>
      <c r="C48" s="15">
        <v>29002</v>
      </c>
      <c r="D48" s="15">
        <v>0</v>
      </c>
      <c r="E48" s="15">
        <v>157545</v>
      </c>
      <c r="F48" s="15">
        <v>32400</v>
      </c>
      <c r="G48" s="15">
        <v>0</v>
      </c>
      <c r="H48" s="15">
        <v>0</v>
      </c>
      <c r="I48" s="15">
        <v>0</v>
      </c>
      <c r="J48" s="15">
        <v>218947</v>
      </c>
      <c r="K48" s="15">
        <v>0</v>
      </c>
      <c r="L48" s="15">
        <v>103376</v>
      </c>
      <c r="M48" s="15">
        <v>207175</v>
      </c>
      <c r="N48" s="15">
        <v>43259</v>
      </c>
      <c r="O48" s="15">
        <v>353810</v>
      </c>
      <c r="P48" s="15">
        <v>5667</v>
      </c>
      <c r="Q48" s="15">
        <v>0</v>
      </c>
      <c r="R48" s="15">
        <v>5667</v>
      </c>
      <c r="S48" s="15">
        <v>0</v>
      </c>
      <c r="T48" s="15">
        <v>0</v>
      </c>
    </row>
    <row r="49" spans="1:20">
      <c r="B49" s="15" t="s">
        <v>169</v>
      </c>
      <c r="C49" s="15">
        <v>40145</v>
      </c>
      <c r="D49" s="15">
        <v>0</v>
      </c>
      <c r="E49" s="15">
        <v>180189</v>
      </c>
      <c r="F49" s="15">
        <v>40337</v>
      </c>
      <c r="G49" s="15">
        <v>0</v>
      </c>
      <c r="H49" s="15">
        <v>0</v>
      </c>
      <c r="I49" s="15">
        <v>0</v>
      </c>
      <c r="J49" s="15">
        <v>260671</v>
      </c>
      <c r="K49" s="15">
        <v>0</v>
      </c>
      <c r="L49" s="15">
        <v>118920</v>
      </c>
      <c r="M49" s="15">
        <v>272775</v>
      </c>
      <c r="N49" s="15">
        <v>53483</v>
      </c>
      <c r="O49" s="15">
        <v>445178</v>
      </c>
      <c r="P49" s="15">
        <v>10371</v>
      </c>
      <c r="Q49" s="15">
        <v>0</v>
      </c>
      <c r="R49" s="15">
        <v>10371</v>
      </c>
      <c r="S49" s="15">
        <v>0</v>
      </c>
      <c r="T49" s="15">
        <v>0</v>
      </c>
    </row>
    <row r="50" spans="1:20">
      <c r="B50" s="15" t="s">
        <v>166</v>
      </c>
      <c r="C50" s="15">
        <v>154716</v>
      </c>
      <c r="E50" s="15">
        <v>120085</v>
      </c>
      <c r="F50" s="15">
        <v>38596</v>
      </c>
      <c r="J50" s="15">
        <v>313397</v>
      </c>
      <c r="L50" s="15">
        <v>0</v>
      </c>
      <c r="M50" s="15">
        <v>0</v>
      </c>
      <c r="N50" s="15">
        <v>0</v>
      </c>
      <c r="O50" s="15">
        <v>0</v>
      </c>
      <c r="P50" s="15">
        <v>0</v>
      </c>
      <c r="R50" s="15">
        <v>0</v>
      </c>
    </row>
    <row r="51" spans="1:20">
      <c r="B51" s="15" t="s">
        <v>170</v>
      </c>
      <c r="C51" s="15">
        <v>158576</v>
      </c>
      <c r="E51" s="15">
        <v>127279</v>
      </c>
      <c r="F51" s="15">
        <v>41099</v>
      </c>
      <c r="J51" s="15">
        <v>326954</v>
      </c>
      <c r="L51" s="15">
        <v>0</v>
      </c>
      <c r="M51" s="15">
        <v>0</v>
      </c>
      <c r="N51" s="15">
        <v>0</v>
      </c>
      <c r="O51" s="15">
        <v>0</v>
      </c>
      <c r="P51" s="15">
        <v>0</v>
      </c>
      <c r="R51" s="15">
        <v>0</v>
      </c>
    </row>
    <row r="52" spans="1:20">
      <c r="B52" s="15" t="s">
        <v>167</v>
      </c>
      <c r="C52" s="15">
        <v>8328</v>
      </c>
      <c r="D52" s="15">
        <v>0</v>
      </c>
      <c r="E52" s="15">
        <v>50706</v>
      </c>
      <c r="F52" s="15">
        <v>7824</v>
      </c>
      <c r="G52" s="15">
        <v>0</v>
      </c>
      <c r="H52" s="15">
        <v>0</v>
      </c>
      <c r="I52" s="15">
        <v>0</v>
      </c>
      <c r="J52" s="15">
        <v>66858</v>
      </c>
      <c r="K52" s="15">
        <v>0</v>
      </c>
      <c r="L52" s="15">
        <v>0</v>
      </c>
      <c r="M52" s="15">
        <v>0</v>
      </c>
      <c r="N52" s="15">
        <v>0</v>
      </c>
      <c r="O52" s="15">
        <v>0</v>
      </c>
      <c r="P52" s="15">
        <v>0</v>
      </c>
      <c r="Q52" s="15">
        <v>0</v>
      </c>
      <c r="R52" s="15">
        <v>0</v>
      </c>
      <c r="S52" s="15">
        <v>0</v>
      </c>
      <c r="T52" s="15">
        <v>0</v>
      </c>
    </row>
    <row r="53" spans="1:20">
      <c r="B53" s="15" t="s">
        <v>171</v>
      </c>
      <c r="C53" s="15">
        <v>12517</v>
      </c>
      <c r="D53" s="15">
        <v>0</v>
      </c>
      <c r="E53" s="15">
        <v>59381</v>
      </c>
      <c r="F53" s="15">
        <v>8996</v>
      </c>
      <c r="G53" s="15">
        <v>0</v>
      </c>
      <c r="H53" s="15">
        <v>0</v>
      </c>
      <c r="I53" s="15">
        <v>0</v>
      </c>
      <c r="J53" s="15">
        <v>80894</v>
      </c>
      <c r="K53" s="15">
        <v>0</v>
      </c>
      <c r="L53" s="15">
        <v>0</v>
      </c>
      <c r="M53" s="15">
        <v>0</v>
      </c>
      <c r="N53" s="15">
        <v>0</v>
      </c>
      <c r="O53" s="15">
        <v>0</v>
      </c>
      <c r="P53" s="15">
        <v>0</v>
      </c>
      <c r="Q53" s="15">
        <v>0</v>
      </c>
      <c r="R53" s="15">
        <v>0</v>
      </c>
      <c r="S53" s="15">
        <v>0</v>
      </c>
      <c r="T53" s="15">
        <v>0</v>
      </c>
    </row>
    <row r="54" spans="1:20">
      <c r="A54" s="15" t="s">
        <v>76</v>
      </c>
      <c r="B54" s="15" t="s">
        <v>164</v>
      </c>
      <c r="C54" s="15">
        <v>0</v>
      </c>
      <c r="D54" s="15">
        <v>0</v>
      </c>
      <c r="E54" s="15">
        <v>0</v>
      </c>
      <c r="F54" s="15">
        <v>0</v>
      </c>
      <c r="J54" s="15">
        <v>0</v>
      </c>
      <c r="K54" s="15">
        <v>0</v>
      </c>
      <c r="L54" s="15">
        <v>0</v>
      </c>
      <c r="M54" s="15">
        <v>0</v>
      </c>
      <c r="N54" s="15">
        <v>0</v>
      </c>
      <c r="O54" s="15">
        <v>0</v>
      </c>
      <c r="P54" s="15">
        <v>0</v>
      </c>
      <c r="Q54" s="15">
        <v>0</v>
      </c>
      <c r="R54" s="15">
        <v>0</v>
      </c>
    </row>
    <row r="55" spans="1:20">
      <c r="B55" s="15" t="s">
        <v>168</v>
      </c>
      <c r="C55" s="15">
        <v>0</v>
      </c>
      <c r="D55" s="15">
        <v>0</v>
      </c>
      <c r="E55" s="15">
        <v>0</v>
      </c>
      <c r="F55" s="15">
        <v>0</v>
      </c>
      <c r="J55" s="15">
        <v>0</v>
      </c>
      <c r="K55" s="15">
        <v>0</v>
      </c>
      <c r="L55" s="15">
        <v>0</v>
      </c>
      <c r="M55" s="15">
        <v>0</v>
      </c>
      <c r="N55" s="15">
        <v>0</v>
      </c>
      <c r="O55" s="15">
        <v>0</v>
      </c>
      <c r="P55" s="15">
        <v>0</v>
      </c>
      <c r="Q55" s="15">
        <v>0</v>
      </c>
      <c r="R55" s="15">
        <v>0</v>
      </c>
    </row>
    <row r="56" spans="1:20">
      <c r="B56" s="15" t="s">
        <v>165</v>
      </c>
      <c r="C56" s="15">
        <v>0</v>
      </c>
      <c r="D56" s="15">
        <v>0</v>
      </c>
      <c r="E56" s="15">
        <v>0</v>
      </c>
      <c r="F56" s="15">
        <v>0</v>
      </c>
      <c r="G56" s="15">
        <v>0</v>
      </c>
      <c r="H56" s="15">
        <v>0</v>
      </c>
      <c r="I56" s="15">
        <v>0</v>
      </c>
      <c r="J56" s="15">
        <v>0</v>
      </c>
      <c r="K56" s="15">
        <v>0</v>
      </c>
      <c r="L56" s="15">
        <v>0</v>
      </c>
      <c r="M56" s="15">
        <v>0</v>
      </c>
      <c r="N56" s="15">
        <v>0</v>
      </c>
      <c r="O56" s="15">
        <v>0</v>
      </c>
      <c r="P56" s="15">
        <v>0</v>
      </c>
      <c r="Q56" s="15">
        <v>0</v>
      </c>
      <c r="R56" s="15">
        <v>0</v>
      </c>
      <c r="S56" s="15">
        <v>0</v>
      </c>
      <c r="T56" s="15">
        <v>0</v>
      </c>
    </row>
    <row r="57" spans="1:20">
      <c r="B57" s="15" t="s">
        <v>169</v>
      </c>
      <c r="C57" s="15">
        <v>0</v>
      </c>
      <c r="D57" s="15">
        <v>0</v>
      </c>
      <c r="E57" s="15">
        <v>0</v>
      </c>
      <c r="F57" s="15">
        <v>0</v>
      </c>
      <c r="G57" s="15">
        <v>0</v>
      </c>
      <c r="H57" s="15">
        <v>0</v>
      </c>
      <c r="I57" s="15">
        <v>0</v>
      </c>
      <c r="J57" s="15">
        <v>0</v>
      </c>
      <c r="K57" s="15">
        <v>0</v>
      </c>
      <c r="L57" s="15">
        <v>0</v>
      </c>
      <c r="M57" s="15">
        <v>0</v>
      </c>
      <c r="N57" s="15">
        <v>0</v>
      </c>
      <c r="O57" s="15">
        <v>0</v>
      </c>
      <c r="P57" s="15">
        <v>0</v>
      </c>
      <c r="Q57" s="15">
        <v>0</v>
      </c>
      <c r="R57" s="15">
        <v>0</v>
      </c>
      <c r="S57" s="15">
        <v>0</v>
      </c>
      <c r="T57" s="15">
        <v>0</v>
      </c>
    </row>
    <row r="58" spans="1:20">
      <c r="B58" s="15" t="s">
        <v>166</v>
      </c>
      <c r="C58" s="15">
        <v>0</v>
      </c>
      <c r="D58" s="15">
        <v>0</v>
      </c>
      <c r="E58" s="15">
        <v>0</v>
      </c>
      <c r="F58" s="15">
        <v>0</v>
      </c>
      <c r="J58" s="15">
        <v>0</v>
      </c>
      <c r="K58" s="15">
        <v>0</v>
      </c>
      <c r="L58" s="15">
        <v>0</v>
      </c>
      <c r="M58" s="15">
        <v>0</v>
      </c>
      <c r="N58" s="15">
        <v>0</v>
      </c>
      <c r="O58" s="15">
        <v>0</v>
      </c>
      <c r="P58" s="15">
        <v>0</v>
      </c>
      <c r="Q58" s="15">
        <v>0</v>
      </c>
      <c r="R58" s="15">
        <v>0</v>
      </c>
    </row>
    <row r="59" spans="1:20">
      <c r="B59" s="15" t="s">
        <v>170</v>
      </c>
      <c r="C59" s="15">
        <v>0</v>
      </c>
      <c r="D59" s="15">
        <v>0</v>
      </c>
      <c r="E59" s="15">
        <v>0</v>
      </c>
      <c r="F59" s="15">
        <v>0</v>
      </c>
      <c r="J59" s="15">
        <v>0</v>
      </c>
      <c r="K59" s="15">
        <v>0</v>
      </c>
      <c r="L59" s="15">
        <v>0</v>
      </c>
      <c r="M59" s="15">
        <v>0</v>
      </c>
      <c r="N59" s="15">
        <v>0</v>
      </c>
      <c r="O59" s="15">
        <v>0</v>
      </c>
      <c r="P59" s="15">
        <v>0</v>
      </c>
      <c r="Q59" s="15">
        <v>0</v>
      </c>
      <c r="R59" s="15">
        <v>0</v>
      </c>
    </row>
    <row r="60" spans="1:20">
      <c r="B60" s="15" t="s">
        <v>167</v>
      </c>
      <c r="C60" s="15">
        <v>0</v>
      </c>
      <c r="D60" s="15">
        <v>0</v>
      </c>
      <c r="E60" s="15">
        <v>0</v>
      </c>
      <c r="F60" s="15">
        <v>0</v>
      </c>
      <c r="G60" s="15">
        <v>0</v>
      </c>
      <c r="H60" s="15">
        <v>0</v>
      </c>
      <c r="I60" s="15">
        <v>0</v>
      </c>
      <c r="J60" s="15">
        <v>0</v>
      </c>
      <c r="K60" s="15">
        <v>0</v>
      </c>
      <c r="L60" s="15">
        <v>0</v>
      </c>
      <c r="M60" s="15">
        <v>0</v>
      </c>
      <c r="N60" s="15">
        <v>0</v>
      </c>
      <c r="O60" s="15">
        <v>0</v>
      </c>
      <c r="P60" s="15">
        <v>0</v>
      </c>
      <c r="Q60" s="15">
        <v>0</v>
      </c>
      <c r="R60" s="15">
        <v>0</v>
      </c>
      <c r="S60" s="15">
        <v>0</v>
      </c>
      <c r="T60" s="15">
        <v>0</v>
      </c>
    </row>
    <row r="61" spans="1:20">
      <c r="B61" s="15" t="s">
        <v>171</v>
      </c>
      <c r="C61" s="15">
        <v>0</v>
      </c>
      <c r="D61" s="15">
        <v>0</v>
      </c>
      <c r="E61" s="15">
        <v>0</v>
      </c>
      <c r="F61" s="15">
        <v>0</v>
      </c>
      <c r="G61" s="15">
        <v>0</v>
      </c>
      <c r="H61" s="15">
        <v>0</v>
      </c>
      <c r="I61" s="15">
        <v>0</v>
      </c>
      <c r="J61" s="15">
        <v>0</v>
      </c>
      <c r="K61" s="15">
        <v>0</v>
      </c>
      <c r="L61" s="15">
        <v>0</v>
      </c>
      <c r="M61" s="15">
        <v>0</v>
      </c>
      <c r="N61" s="15">
        <v>0</v>
      </c>
      <c r="O61" s="15">
        <v>0</v>
      </c>
      <c r="P61" s="15">
        <v>0</v>
      </c>
      <c r="Q61" s="15">
        <v>0</v>
      </c>
      <c r="R61" s="15">
        <v>0</v>
      </c>
      <c r="S61" s="15">
        <v>0</v>
      </c>
      <c r="T61" s="15">
        <v>0</v>
      </c>
    </row>
    <row r="62" spans="1:20">
      <c r="A62" s="15" t="s">
        <v>77</v>
      </c>
      <c r="B62" s="15" t="s">
        <v>164</v>
      </c>
      <c r="C62" s="15">
        <v>791533.5</v>
      </c>
      <c r="D62" s="15">
        <v>269872</v>
      </c>
      <c r="E62" s="15">
        <v>665534.5</v>
      </c>
      <c r="F62" s="15">
        <v>736972</v>
      </c>
      <c r="H62" s="15">
        <v>61956</v>
      </c>
      <c r="I62" s="15">
        <v>384318</v>
      </c>
      <c r="J62" s="15">
        <v>2910186</v>
      </c>
      <c r="L62" s="15">
        <v>1595740</v>
      </c>
      <c r="M62" s="15">
        <v>959983</v>
      </c>
      <c r="N62" s="15">
        <v>114581.05</v>
      </c>
      <c r="O62" s="15">
        <v>2670304.0499999998</v>
      </c>
    </row>
    <row r="63" spans="1:20">
      <c r="B63" s="15" t="s">
        <v>168</v>
      </c>
      <c r="C63" s="15">
        <v>799218</v>
      </c>
      <c r="D63" s="15">
        <v>290420.5</v>
      </c>
      <c r="E63" s="15">
        <v>687935.5</v>
      </c>
      <c r="F63" s="15">
        <v>765194</v>
      </c>
      <c r="H63" s="15">
        <v>62834.5</v>
      </c>
      <c r="I63" s="15">
        <v>422643</v>
      </c>
      <c r="J63" s="15">
        <v>3028245.5</v>
      </c>
      <c r="L63" s="15">
        <v>1757107.7</v>
      </c>
      <c r="M63" s="15">
        <v>1071113.5</v>
      </c>
      <c r="N63" s="15">
        <v>123677.25</v>
      </c>
      <c r="O63" s="15">
        <v>2951898.45</v>
      </c>
    </row>
    <row r="64" spans="1:20">
      <c r="B64" s="15" t="s">
        <v>165</v>
      </c>
      <c r="C64" s="15">
        <v>7163</v>
      </c>
      <c r="D64" s="15">
        <v>12436</v>
      </c>
      <c r="E64" s="15">
        <v>18028</v>
      </c>
      <c r="F64" s="15">
        <v>52201</v>
      </c>
      <c r="G64" s="15">
        <v>0</v>
      </c>
      <c r="H64" s="15">
        <v>0</v>
      </c>
      <c r="I64" s="15">
        <v>328772</v>
      </c>
      <c r="J64" s="15">
        <v>418600</v>
      </c>
      <c r="K64" s="15">
        <v>0</v>
      </c>
      <c r="L64" s="15">
        <v>179369</v>
      </c>
      <c r="M64" s="15">
        <v>142846.5</v>
      </c>
      <c r="N64" s="15">
        <v>13506</v>
      </c>
      <c r="O64" s="15">
        <v>335721.5</v>
      </c>
      <c r="P64" s="15">
        <v>0</v>
      </c>
      <c r="Q64" s="15">
        <v>0</v>
      </c>
      <c r="R64" s="15">
        <v>0</v>
      </c>
      <c r="S64" s="15">
        <v>0</v>
      </c>
      <c r="T64" s="15">
        <v>0</v>
      </c>
    </row>
    <row r="65" spans="1:20">
      <c r="B65" s="15" t="s">
        <v>169</v>
      </c>
      <c r="C65" s="15">
        <v>11064</v>
      </c>
      <c r="D65" s="15">
        <v>22177</v>
      </c>
      <c r="E65" s="15">
        <v>25826</v>
      </c>
      <c r="F65" s="15">
        <v>60441</v>
      </c>
      <c r="G65" s="15">
        <v>0</v>
      </c>
      <c r="H65" s="15">
        <v>0</v>
      </c>
      <c r="I65" s="15">
        <v>365434</v>
      </c>
      <c r="J65" s="15">
        <v>484942</v>
      </c>
      <c r="K65" s="15">
        <v>0</v>
      </c>
      <c r="L65" s="15">
        <v>196568.5</v>
      </c>
      <c r="M65" s="15">
        <v>163527.5</v>
      </c>
      <c r="N65" s="15">
        <v>17327</v>
      </c>
      <c r="O65" s="15">
        <v>377423</v>
      </c>
      <c r="P65" s="15">
        <v>0</v>
      </c>
      <c r="Q65" s="15">
        <v>0</v>
      </c>
      <c r="R65" s="15">
        <v>0</v>
      </c>
      <c r="S65" s="15">
        <v>0</v>
      </c>
      <c r="T65" s="15">
        <v>0</v>
      </c>
    </row>
    <row r="66" spans="1:20">
      <c r="B66" s="15" t="s">
        <v>166</v>
      </c>
      <c r="C66" s="15">
        <v>154875</v>
      </c>
      <c r="D66" s="15">
        <v>31112</v>
      </c>
      <c r="E66" s="15">
        <v>70318</v>
      </c>
      <c r="F66" s="15">
        <v>112464</v>
      </c>
      <c r="H66" s="15">
        <v>1900</v>
      </c>
      <c r="I66" s="15">
        <v>159416</v>
      </c>
      <c r="J66" s="15">
        <v>530085</v>
      </c>
      <c r="L66" s="15">
        <v>0</v>
      </c>
      <c r="M66" s="15">
        <v>0</v>
      </c>
      <c r="N66" s="15">
        <v>0</v>
      </c>
      <c r="O66" s="15">
        <v>0</v>
      </c>
    </row>
    <row r="67" spans="1:20">
      <c r="B67" s="15" t="s">
        <v>170</v>
      </c>
      <c r="C67" s="15">
        <v>156544.5</v>
      </c>
      <c r="D67" s="15">
        <v>35406</v>
      </c>
      <c r="E67" s="15">
        <v>76034.5</v>
      </c>
      <c r="F67" s="15">
        <v>191450</v>
      </c>
      <c r="H67" s="15">
        <v>1937</v>
      </c>
      <c r="I67" s="15">
        <v>173875</v>
      </c>
      <c r="J67" s="15">
        <v>635247</v>
      </c>
      <c r="L67" s="15">
        <v>0</v>
      </c>
      <c r="M67" s="15">
        <v>0</v>
      </c>
      <c r="N67" s="15">
        <v>0</v>
      </c>
      <c r="O67" s="15">
        <v>0</v>
      </c>
    </row>
    <row r="68" spans="1:20">
      <c r="B68" s="15" t="s">
        <v>167</v>
      </c>
      <c r="C68" s="15">
        <v>5827</v>
      </c>
      <c r="D68" s="15">
        <v>5429</v>
      </c>
      <c r="E68" s="15">
        <v>4693</v>
      </c>
      <c r="F68" s="15">
        <v>15138</v>
      </c>
      <c r="G68" s="15">
        <v>0</v>
      </c>
      <c r="H68" s="15">
        <v>0</v>
      </c>
      <c r="I68" s="15">
        <v>154415</v>
      </c>
      <c r="J68" s="15">
        <v>185502</v>
      </c>
      <c r="K68" s="15">
        <v>0</v>
      </c>
      <c r="L68" s="15">
        <v>0</v>
      </c>
      <c r="M68" s="15">
        <v>0</v>
      </c>
      <c r="N68" s="15">
        <v>0</v>
      </c>
      <c r="O68" s="15">
        <v>0</v>
      </c>
      <c r="P68" s="15">
        <v>0</v>
      </c>
      <c r="Q68" s="15">
        <v>0</v>
      </c>
      <c r="R68" s="15">
        <v>0</v>
      </c>
      <c r="S68" s="15">
        <v>0</v>
      </c>
      <c r="T68" s="15">
        <v>0</v>
      </c>
    </row>
    <row r="69" spans="1:20">
      <c r="B69" s="15" t="s">
        <v>171</v>
      </c>
      <c r="C69" s="15">
        <v>6383</v>
      </c>
      <c r="D69" s="15">
        <v>6006</v>
      </c>
      <c r="E69" s="15">
        <v>6809</v>
      </c>
      <c r="F69" s="15">
        <v>97724</v>
      </c>
      <c r="G69" s="15">
        <v>0</v>
      </c>
      <c r="H69" s="15">
        <v>0</v>
      </c>
      <c r="I69" s="15">
        <v>173875</v>
      </c>
      <c r="J69" s="15">
        <v>290797</v>
      </c>
      <c r="K69" s="15">
        <v>0</v>
      </c>
      <c r="L69" s="15">
        <v>0</v>
      </c>
      <c r="M69" s="15">
        <v>0</v>
      </c>
      <c r="N69" s="15">
        <v>0</v>
      </c>
      <c r="O69" s="15">
        <v>0</v>
      </c>
      <c r="P69" s="15">
        <v>0</v>
      </c>
      <c r="Q69" s="15">
        <v>0</v>
      </c>
      <c r="R69" s="15">
        <v>0</v>
      </c>
      <c r="S69" s="15">
        <v>0</v>
      </c>
      <c r="T69" s="15">
        <v>0</v>
      </c>
    </row>
    <row r="70" spans="1:20">
      <c r="A70" s="15" t="s">
        <v>78</v>
      </c>
      <c r="B70" s="15" t="s">
        <v>164</v>
      </c>
      <c r="C70" s="15">
        <v>740711</v>
      </c>
      <c r="D70" s="15">
        <v>533640</v>
      </c>
      <c r="F70" s="15">
        <v>225683</v>
      </c>
      <c r="G70" s="15">
        <v>57804</v>
      </c>
      <c r="J70" s="15">
        <v>1557838</v>
      </c>
      <c r="L70" s="15">
        <v>908324</v>
      </c>
      <c r="M70" s="15">
        <v>935651</v>
      </c>
      <c r="N70" s="15">
        <v>108080</v>
      </c>
      <c r="O70" s="15">
        <v>1952055</v>
      </c>
    </row>
    <row r="71" spans="1:20">
      <c r="B71" s="15" t="s">
        <v>168</v>
      </c>
      <c r="C71" s="15">
        <v>761085</v>
      </c>
      <c r="D71" s="15">
        <v>577234.5</v>
      </c>
      <c r="F71" s="15">
        <v>228354</v>
      </c>
      <c r="G71" s="15">
        <v>63024</v>
      </c>
      <c r="J71" s="15">
        <v>1629697.5</v>
      </c>
      <c r="L71" s="15">
        <v>1046744</v>
      </c>
      <c r="M71" s="15">
        <v>1052107</v>
      </c>
      <c r="N71" s="15">
        <v>120095</v>
      </c>
      <c r="O71" s="15">
        <v>2218946</v>
      </c>
    </row>
    <row r="72" spans="1:20">
      <c r="B72" s="15" t="s">
        <v>165</v>
      </c>
      <c r="C72" s="15">
        <v>47630</v>
      </c>
      <c r="D72" s="15">
        <v>21318</v>
      </c>
      <c r="E72" s="15">
        <v>0</v>
      </c>
      <c r="F72" s="15">
        <v>25285</v>
      </c>
      <c r="G72" s="15">
        <v>11614</v>
      </c>
      <c r="H72" s="15">
        <v>0</v>
      </c>
      <c r="I72" s="15">
        <v>0</v>
      </c>
      <c r="J72" s="15">
        <v>105847</v>
      </c>
      <c r="K72" s="15">
        <v>0</v>
      </c>
      <c r="L72" s="15">
        <v>160666</v>
      </c>
      <c r="M72" s="15">
        <v>121307</v>
      </c>
      <c r="N72" s="15">
        <v>8841</v>
      </c>
      <c r="O72" s="15">
        <v>290814</v>
      </c>
      <c r="P72" s="15">
        <v>0</v>
      </c>
      <c r="Q72" s="15">
        <v>0</v>
      </c>
      <c r="R72" s="15">
        <v>0</v>
      </c>
      <c r="S72" s="15">
        <v>0</v>
      </c>
      <c r="T72" s="15">
        <v>0</v>
      </c>
    </row>
    <row r="73" spans="1:20">
      <c r="B73" s="15" t="s">
        <v>169</v>
      </c>
      <c r="C73" s="15">
        <v>56180</v>
      </c>
      <c r="D73" s="15">
        <v>20722</v>
      </c>
      <c r="E73" s="15">
        <v>0</v>
      </c>
      <c r="F73" s="15">
        <v>29692.5</v>
      </c>
      <c r="G73" s="15">
        <v>19169</v>
      </c>
      <c r="H73" s="15">
        <v>0</v>
      </c>
      <c r="I73" s="15">
        <v>0</v>
      </c>
      <c r="J73" s="15">
        <v>125763.5</v>
      </c>
      <c r="K73" s="15">
        <v>0</v>
      </c>
      <c r="L73" s="15">
        <v>215435</v>
      </c>
      <c r="M73" s="15">
        <v>172678</v>
      </c>
      <c r="N73" s="15">
        <v>11706</v>
      </c>
      <c r="O73" s="15">
        <v>399819</v>
      </c>
      <c r="P73" s="15">
        <v>0</v>
      </c>
      <c r="Q73" s="15">
        <v>0</v>
      </c>
      <c r="R73" s="15">
        <v>0</v>
      </c>
      <c r="S73" s="15">
        <v>0</v>
      </c>
      <c r="T73" s="15">
        <v>0</v>
      </c>
    </row>
    <row r="74" spans="1:20">
      <c r="B74" s="15" t="s">
        <v>166</v>
      </c>
      <c r="C74" s="15">
        <v>121801</v>
      </c>
      <c r="D74" s="15">
        <v>83666</v>
      </c>
      <c r="F74" s="15">
        <v>30749</v>
      </c>
      <c r="G74" s="15">
        <v>4413</v>
      </c>
      <c r="J74" s="15">
        <v>240629</v>
      </c>
      <c r="L74" s="15">
        <v>0</v>
      </c>
      <c r="M74" s="15">
        <v>0</v>
      </c>
      <c r="N74" s="15">
        <v>0</v>
      </c>
      <c r="O74" s="15">
        <v>0</v>
      </c>
    </row>
    <row r="75" spans="1:20">
      <c r="B75" s="15" t="s">
        <v>170</v>
      </c>
      <c r="C75" s="15">
        <v>124105</v>
      </c>
      <c r="D75" s="15">
        <v>87762.5</v>
      </c>
      <c r="F75" s="15">
        <v>38310</v>
      </c>
      <c r="G75" s="15">
        <v>4501</v>
      </c>
      <c r="J75" s="15">
        <v>254678.5</v>
      </c>
      <c r="L75" s="15">
        <v>0</v>
      </c>
      <c r="M75" s="15">
        <v>0</v>
      </c>
      <c r="N75" s="15">
        <v>0</v>
      </c>
      <c r="O75" s="15">
        <v>0</v>
      </c>
    </row>
    <row r="76" spans="1:20">
      <c r="B76" s="15" t="s">
        <v>167</v>
      </c>
      <c r="C76" s="15">
        <v>24277</v>
      </c>
      <c r="D76" s="15">
        <v>3679</v>
      </c>
      <c r="E76" s="15">
        <v>0</v>
      </c>
      <c r="F76" s="15">
        <v>11082</v>
      </c>
      <c r="G76" s="15">
        <v>1221</v>
      </c>
      <c r="H76" s="15">
        <v>0</v>
      </c>
      <c r="I76" s="15">
        <v>0</v>
      </c>
      <c r="J76" s="15">
        <v>40259</v>
      </c>
      <c r="K76" s="15">
        <v>0</v>
      </c>
      <c r="L76" s="15">
        <v>0</v>
      </c>
      <c r="M76" s="15">
        <v>0</v>
      </c>
      <c r="N76" s="15">
        <v>0</v>
      </c>
      <c r="O76" s="15">
        <v>0</v>
      </c>
      <c r="P76" s="15">
        <v>0</v>
      </c>
      <c r="Q76" s="15">
        <v>0</v>
      </c>
      <c r="R76" s="15">
        <v>0</v>
      </c>
      <c r="S76" s="15">
        <v>0</v>
      </c>
      <c r="T76" s="15">
        <v>0</v>
      </c>
    </row>
    <row r="77" spans="1:20">
      <c r="B77" s="15" t="s">
        <v>171</v>
      </c>
      <c r="C77" s="15">
        <v>30146</v>
      </c>
      <c r="D77" s="15">
        <v>3482</v>
      </c>
      <c r="E77" s="15">
        <v>0</v>
      </c>
      <c r="F77" s="15">
        <v>15119</v>
      </c>
      <c r="G77" s="15">
        <v>1239</v>
      </c>
      <c r="H77" s="15">
        <v>0</v>
      </c>
      <c r="I77" s="15">
        <v>0</v>
      </c>
      <c r="J77" s="15">
        <v>49986</v>
      </c>
      <c r="K77" s="15">
        <v>0</v>
      </c>
      <c r="L77" s="15">
        <v>0</v>
      </c>
      <c r="M77" s="15">
        <v>0</v>
      </c>
      <c r="N77" s="15">
        <v>0</v>
      </c>
      <c r="O77" s="15">
        <v>0</v>
      </c>
      <c r="P77" s="15">
        <v>0</v>
      </c>
      <c r="Q77" s="15">
        <v>0</v>
      </c>
      <c r="R77" s="15">
        <v>0</v>
      </c>
      <c r="S77" s="15">
        <v>0</v>
      </c>
      <c r="T77" s="15">
        <v>0</v>
      </c>
    </row>
    <row r="78" spans="1:20">
      <c r="A78" s="15" t="s">
        <v>79</v>
      </c>
      <c r="B78" s="15" t="s">
        <v>164</v>
      </c>
      <c r="C78" s="15">
        <v>1225712</v>
      </c>
      <c r="D78" s="15">
        <v>938293</v>
      </c>
      <c r="E78" s="15">
        <v>2010485</v>
      </c>
      <c r="F78" s="15">
        <v>155114</v>
      </c>
      <c r="G78" s="15">
        <v>334724</v>
      </c>
      <c r="H78" s="15">
        <v>193937</v>
      </c>
      <c r="J78" s="15">
        <v>4858265</v>
      </c>
      <c r="L78" s="15">
        <v>2157816</v>
      </c>
      <c r="M78" s="15">
        <v>1948840</v>
      </c>
      <c r="N78" s="15">
        <v>822067</v>
      </c>
      <c r="O78" s="15">
        <v>4928723</v>
      </c>
    </row>
    <row r="79" spans="1:20">
      <c r="B79" s="15" t="s">
        <v>168</v>
      </c>
      <c r="C79" s="15">
        <v>1234732</v>
      </c>
      <c r="D79" s="15">
        <v>965211</v>
      </c>
      <c r="E79" s="15">
        <v>2064575</v>
      </c>
      <c r="F79" s="15">
        <v>144829</v>
      </c>
      <c r="G79" s="15">
        <v>342848</v>
      </c>
      <c r="H79" s="15">
        <v>202516</v>
      </c>
      <c r="J79" s="15">
        <v>4954711</v>
      </c>
      <c r="L79" s="15">
        <v>2426176</v>
      </c>
      <c r="M79" s="15">
        <v>2128322</v>
      </c>
      <c r="N79" s="15">
        <v>885250</v>
      </c>
      <c r="O79" s="15">
        <v>5439748</v>
      </c>
    </row>
    <row r="80" spans="1:20">
      <c r="B80" s="15" t="s">
        <v>165</v>
      </c>
      <c r="C80" s="15">
        <v>74174</v>
      </c>
      <c r="D80" s="15">
        <v>87152</v>
      </c>
      <c r="E80" s="15">
        <v>151876</v>
      </c>
      <c r="F80" s="15">
        <v>16997</v>
      </c>
      <c r="G80" s="15">
        <v>41237</v>
      </c>
      <c r="H80" s="15">
        <v>13231</v>
      </c>
      <c r="I80" s="15">
        <v>0</v>
      </c>
      <c r="J80" s="15">
        <v>384667</v>
      </c>
      <c r="K80" s="15">
        <v>0</v>
      </c>
      <c r="L80" s="15">
        <v>430695</v>
      </c>
      <c r="M80" s="15">
        <v>425344</v>
      </c>
      <c r="N80" s="15">
        <v>186007</v>
      </c>
      <c r="O80" s="15">
        <v>1042046</v>
      </c>
      <c r="P80" s="15">
        <v>0</v>
      </c>
      <c r="Q80" s="15">
        <v>0</v>
      </c>
      <c r="R80" s="15">
        <v>0</v>
      </c>
      <c r="S80" s="15">
        <v>0</v>
      </c>
      <c r="T80" s="15">
        <v>0</v>
      </c>
    </row>
    <row r="81" spans="1:20">
      <c r="B81" s="15" t="s">
        <v>169</v>
      </c>
      <c r="C81" s="15">
        <v>85919</v>
      </c>
      <c r="D81" s="15">
        <v>83767</v>
      </c>
      <c r="E81" s="15">
        <v>164895</v>
      </c>
      <c r="F81" s="15">
        <v>22072</v>
      </c>
      <c r="G81" s="15">
        <v>51837</v>
      </c>
      <c r="H81" s="15">
        <v>15046</v>
      </c>
      <c r="I81" s="15">
        <v>0</v>
      </c>
      <c r="J81" s="15">
        <v>423536</v>
      </c>
      <c r="K81" s="15">
        <v>0</v>
      </c>
      <c r="L81" s="15">
        <v>515842</v>
      </c>
      <c r="M81" s="15">
        <v>498157</v>
      </c>
      <c r="N81" s="15">
        <v>217647</v>
      </c>
      <c r="O81" s="15">
        <v>1231646</v>
      </c>
      <c r="P81" s="15">
        <v>0</v>
      </c>
      <c r="Q81" s="15">
        <v>0</v>
      </c>
      <c r="R81" s="15">
        <v>0</v>
      </c>
      <c r="S81" s="15">
        <v>0</v>
      </c>
      <c r="T81" s="15">
        <v>0</v>
      </c>
    </row>
    <row r="82" spans="1:20">
      <c r="B82" s="15" t="s">
        <v>166</v>
      </c>
      <c r="C82" s="15">
        <v>315151</v>
      </c>
      <c r="D82" s="15">
        <v>142060</v>
      </c>
      <c r="E82" s="15">
        <v>273957</v>
      </c>
      <c r="F82" s="15">
        <v>9056</v>
      </c>
      <c r="G82" s="15">
        <v>21059</v>
      </c>
      <c r="H82" s="15">
        <v>1366</v>
      </c>
      <c r="J82" s="15">
        <v>762649</v>
      </c>
      <c r="L82" s="15">
        <v>0</v>
      </c>
      <c r="M82" s="15">
        <v>0</v>
      </c>
      <c r="N82" s="15">
        <v>0</v>
      </c>
      <c r="O82" s="15">
        <v>0</v>
      </c>
    </row>
    <row r="83" spans="1:20">
      <c r="B83" s="15" t="s">
        <v>170</v>
      </c>
      <c r="C83" s="15">
        <v>328255</v>
      </c>
      <c r="D83" s="15">
        <v>145475</v>
      </c>
      <c r="E83" s="15">
        <v>278815</v>
      </c>
      <c r="F83" s="15">
        <v>9471</v>
      </c>
      <c r="G83" s="15">
        <v>21876</v>
      </c>
      <c r="H83" s="15">
        <v>1519</v>
      </c>
      <c r="J83" s="15">
        <v>785411</v>
      </c>
      <c r="L83" s="15">
        <v>0</v>
      </c>
      <c r="M83" s="15">
        <v>0</v>
      </c>
      <c r="N83" s="15">
        <v>0</v>
      </c>
      <c r="O83" s="15">
        <v>0</v>
      </c>
    </row>
    <row r="84" spans="1:20">
      <c r="B84" s="15" t="s">
        <v>167</v>
      </c>
      <c r="C84" s="15">
        <v>28205</v>
      </c>
      <c r="D84" s="15">
        <v>20516</v>
      </c>
      <c r="E84" s="15">
        <v>79342</v>
      </c>
      <c r="F84" s="15">
        <v>1224</v>
      </c>
      <c r="G84" s="15">
        <v>5637</v>
      </c>
      <c r="H84" s="15">
        <v>267</v>
      </c>
      <c r="I84" s="15">
        <v>0</v>
      </c>
      <c r="J84" s="15">
        <v>135191</v>
      </c>
      <c r="K84" s="15">
        <v>0</v>
      </c>
      <c r="L84" s="15">
        <v>0</v>
      </c>
      <c r="M84" s="15">
        <v>0</v>
      </c>
      <c r="N84" s="15">
        <v>0</v>
      </c>
      <c r="O84" s="15">
        <v>0</v>
      </c>
      <c r="P84" s="15">
        <v>0</v>
      </c>
      <c r="Q84" s="15">
        <v>0</v>
      </c>
      <c r="R84" s="15">
        <v>0</v>
      </c>
      <c r="S84" s="15">
        <v>0</v>
      </c>
      <c r="T84" s="15">
        <v>0</v>
      </c>
    </row>
    <row r="85" spans="1:20">
      <c r="B85" s="15" t="s">
        <v>171</v>
      </c>
      <c r="C85" s="15">
        <v>31989</v>
      </c>
      <c r="D85" s="15">
        <v>23091</v>
      </c>
      <c r="E85" s="15">
        <v>80369</v>
      </c>
      <c r="F85" s="15">
        <v>2298</v>
      </c>
      <c r="G85" s="15">
        <v>6545</v>
      </c>
      <c r="H85" s="15">
        <v>365</v>
      </c>
      <c r="I85" s="15">
        <v>0</v>
      </c>
      <c r="J85" s="15">
        <v>144657</v>
      </c>
      <c r="K85" s="15">
        <v>0</v>
      </c>
      <c r="L85" s="15">
        <v>0</v>
      </c>
      <c r="M85" s="15">
        <v>0</v>
      </c>
      <c r="N85" s="15">
        <v>0</v>
      </c>
      <c r="O85" s="15">
        <v>0</v>
      </c>
      <c r="P85" s="15">
        <v>0</v>
      </c>
      <c r="Q85" s="15">
        <v>0</v>
      </c>
      <c r="R85" s="15">
        <v>0</v>
      </c>
      <c r="S85" s="15">
        <v>0</v>
      </c>
      <c r="T85" s="15">
        <v>0</v>
      </c>
    </row>
    <row r="86" spans="1:20">
      <c r="A86" s="15" t="s">
        <v>80</v>
      </c>
      <c r="B86" s="15" t="s">
        <v>164</v>
      </c>
      <c r="C86" s="15">
        <v>1032537</v>
      </c>
      <c r="E86" s="15">
        <v>541209</v>
      </c>
      <c r="G86" s="15">
        <v>556612</v>
      </c>
      <c r="H86" s="15">
        <v>156829</v>
      </c>
      <c r="J86" s="15">
        <v>2287187</v>
      </c>
      <c r="K86" s="15">
        <v>98559</v>
      </c>
      <c r="L86" s="15">
        <v>639694</v>
      </c>
      <c r="M86" s="15">
        <v>387369</v>
      </c>
      <c r="N86" s="15">
        <v>396561</v>
      </c>
      <c r="O86" s="15">
        <v>1522183</v>
      </c>
      <c r="P86" s="15">
        <v>0</v>
      </c>
      <c r="Q86" s="15">
        <v>0</v>
      </c>
      <c r="R86" s="15">
        <v>0</v>
      </c>
      <c r="S86" s="15">
        <v>0</v>
      </c>
      <c r="T86" s="15">
        <v>0</v>
      </c>
    </row>
    <row r="87" spans="1:20">
      <c r="B87" s="15" t="s">
        <v>168</v>
      </c>
      <c r="C87" s="15">
        <v>1072747</v>
      </c>
      <c r="E87" s="15">
        <v>570594</v>
      </c>
      <c r="G87" s="15">
        <v>584608</v>
      </c>
      <c r="H87" s="15">
        <v>168945</v>
      </c>
      <c r="J87" s="15">
        <v>2396894</v>
      </c>
      <c r="K87" s="15">
        <v>96782</v>
      </c>
      <c r="L87" s="15">
        <v>647009</v>
      </c>
      <c r="M87" s="15">
        <v>439695</v>
      </c>
      <c r="N87" s="15">
        <v>445740</v>
      </c>
      <c r="O87" s="15">
        <v>1629226</v>
      </c>
      <c r="P87" s="15">
        <v>0</v>
      </c>
      <c r="Q87" s="15">
        <v>0</v>
      </c>
      <c r="R87" s="15">
        <v>0</v>
      </c>
      <c r="S87" s="15">
        <v>0</v>
      </c>
      <c r="T87" s="15">
        <v>0</v>
      </c>
    </row>
    <row r="88" spans="1:20">
      <c r="B88" s="15" t="s">
        <v>165</v>
      </c>
      <c r="C88" s="15">
        <v>58770</v>
      </c>
      <c r="D88" s="15">
        <v>0</v>
      </c>
      <c r="E88" s="15">
        <v>44758</v>
      </c>
      <c r="F88" s="15">
        <v>0</v>
      </c>
      <c r="G88" s="15">
        <v>87933</v>
      </c>
      <c r="H88" s="15">
        <v>33979</v>
      </c>
      <c r="I88" s="15">
        <v>0</v>
      </c>
      <c r="J88" s="15">
        <v>225440</v>
      </c>
      <c r="K88" s="15">
        <v>0</v>
      </c>
      <c r="L88" s="15">
        <v>118940</v>
      </c>
      <c r="M88" s="15">
        <v>84275</v>
      </c>
      <c r="N88" s="15">
        <v>96769</v>
      </c>
      <c r="O88" s="15">
        <v>299984</v>
      </c>
      <c r="P88" s="15">
        <v>0</v>
      </c>
      <c r="Q88" s="15">
        <v>0</v>
      </c>
      <c r="R88" s="15">
        <v>0</v>
      </c>
      <c r="S88" s="15">
        <v>0</v>
      </c>
      <c r="T88" s="15">
        <v>0</v>
      </c>
    </row>
    <row r="89" spans="1:20">
      <c r="B89" s="15" t="s">
        <v>169</v>
      </c>
      <c r="C89" s="15">
        <v>82885</v>
      </c>
      <c r="D89" s="15">
        <v>0</v>
      </c>
      <c r="E89" s="15">
        <v>46358</v>
      </c>
      <c r="F89" s="15">
        <v>0</v>
      </c>
      <c r="G89" s="15">
        <v>96036</v>
      </c>
      <c r="H89" s="15">
        <v>35476</v>
      </c>
      <c r="I89" s="15">
        <v>0</v>
      </c>
      <c r="J89" s="15">
        <v>260755</v>
      </c>
      <c r="K89" s="15">
        <v>5961</v>
      </c>
      <c r="L89" s="15">
        <v>111690</v>
      </c>
      <c r="M89" s="15">
        <v>106927</v>
      </c>
      <c r="N89" s="15">
        <v>140143</v>
      </c>
      <c r="O89" s="15">
        <v>364721</v>
      </c>
      <c r="P89" s="15">
        <v>0</v>
      </c>
      <c r="Q89" s="15">
        <v>0</v>
      </c>
      <c r="R89" s="15">
        <v>0</v>
      </c>
      <c r="S89" s="15">
        <v>0</v>
      </c>
      <c r="T89" s="15">
        <v>0</v>
      </c>
    </row>
    <row r="90" spans="1:20">
      <c r="B90" s="15" t="s">
        <v>166</v>
      </c>
      <c r="C90" s="15">
        <v>150592</v>
      </c>
      <c r="E90" s="15">
        <v>43880</v>
      </c>
      <c r="G90" s="15">
        <v>50889</v>
      </c>
      <c r="H90" s="15">
        <v>0</v>
      </c>
      <c r="J90" s="15">
        <v>245361</v>
      </c>
      <c r="K90" s="15">
        <v>0</v>
      </c>
      <c r="L90" s="15">
        <v>0</v>
      </c>
      <c r="M90" s="15">
        <v>0</v>
      </c>
      <c r="N90" s="15">
        <v>0</v>
      </c>
      <c r="O90" s="15">
        <v>0</v>
      </c>
      <c r="P90" s="15">
        <v>0</v>
      </c>
      <c r="Q90" s="15">
        <v>0</v>
      </c>
      <c r="R90" s="15">
        <v>0</v>
      </c>
      <c r="S90" s="15">
        <v>0</v>
      </c>
      <c r="T90" s="15">
        <v>0</v>
      </c>
    </row>
    <row r="91" spans="1:20">
      <c r="B91" s="15" t="s">
        <v>170</v>
      </c>
      <c r="C91" s="15">
        <v>167586</v>
      </c>
      <c r="E91" s="15">
        <v>48051</v>
      </c>
      <c r="G91" s="15">
        <v>53667</v>
      </c>
      <c r="H91" s="15">
        <v>0</v>
      </c>
      <c r="J91" s="15">
        <v>269304</v>
      </c>
      <c r="K91" s="15">
        <v>0</v>
      </c>
      <c r="L91" s="15">
        <v>0</v>
      </c>
      <c r="M91" s="15">
        <v>0</v>
      </c>
      <c r="N91" s="15">
        <v>0</v>
      </c>
      <c r="O91" s="15">
        <v>0</v>
      </c>
      <c r="P91" s="15">
        <v>0</v>
      </c>
      <c r="Q91" s="15">
        <v>0</v>
      </c>
      <c r="R91" s="15">
        <v>0</v>
      </c>
      <c r="S91" s="15">
        <v>0</v>
      </c>
      <c r="T91" s="15">
        <v>0</v>
      </c>
    </row>
    <row r="92" spans="1:20">
      <c r="B92" s="15" t="s">
        <v>167</v>
      </c>
      <c r="C92" s="15">
        <v>19890</v>
      </c>
      <c r="D92" s="15">
        <v>0</v>
      </c>
      <c r="E92" s="15">
        <v>4063</v>
      </c>
      <c r="F92" s="15">
        <v>0</v>
      </c>
      <c r="G92" s="15">
        <v>18335</v>
      </c>
      <c r="H92" s="15">
        <v>0</v>
      </c>
      <c r="I92" s="15">
        <v>0</v>
      </c>
      <c r="J92" s="15">
        <v>42288</v>
      </c>
      <c r="K92" s="15">
        <v>0</v>
      </c>
      <c r="L92" s="15">
        <v>0</v>
      </c>
      <c r="M92" s="15">
        <v>0</v>
      </c>
      <c r="N92" s="15">
        <v>0</v>
      </c>
      <c r="O92" s="15">
        <v>0</v>
      </c>
      <c r="P92" s="15">
        <v>0</v>
      </c>
      <c r="Q92" s="15">
        <v>0</v>
      </c>
      <c r="R92" s="15">
        <v>0</v>
      </c>
      <c r="S92" s="15">
        <v>0</v>
      </c>
      <c r="T92" s="15">
        <v>0</v>
      </c>
    </row>
    <row r="93" spans="1:20">
      <c r="B93" s="15" t="s">
        <v>171</v>
      </c>
      <c r="C93" s="15">
        <v>24763</v>
      </c>
      <c r="D93" s="15">
        <v>0</v>
      </c>
      <c r="E93" s="15">
        <v>3677</v>
      </c>
      <c r="F93" s="15">
        <v>0</v>
      </c>
      <c r="G93" s="15">
        <v>22579</v>
      </c>
      <c r="H93" s="15">
        <v>0</v>
      </c>
      <c r="I93" s="15">
        <v>0</v>
      </c>
      <c r="J93" s="15">
        <v>51019</v>
      </c>
      <c r="K93" s="15">
        <v>0</v>
      </c>
      <c r="L93" s="15">
        <v>0</v>
      </c>
      <c r="M93" s="15">
        <v>0</v>
      </c>
      <c r="N93" s="15">
        <v>0</v>
      </c>
      <c r="O93" s="15">
        <v>0</v>
      </c>
      <c r="P93" s="15">
        <v>0</v>
      </c>
      <c r="Q93" s="15">
        <v>0</v>
      </c>
      <c r="R93" s="15">
        <v>0</v>
      </c>
      <c r="S93" s="15">
        <v>0</v>
      </c>
      <c r="T93" s="15">
        <v>0</v>
      </c>
    </row>
    <row r="94" spans="1:20">
      <c r="A94" s="15" t="s">
        <v>81</v>
      </c>
      <c r="B94" s="15" t="s">
        <v>164</v>
      </c>
      <c r="C94" s="15">
        <v>1058660</v>
      </c>
      <c r="E94" s="15">
        <v>433308</v>
      </c>
      <c r="F94" s="15">
        <v>83574</v>
      </c>
      <c r="G94" s="15">
        <v>439761</v>
      </c>
      <c r="H94" s="15">
        <v>342502</v>
      </c>
      <c r="J94" s="15">
        <v>2357805</v>
      </c>
      <c r="L94" s="15">
        <v>971991</v>
      </c>
      <c r="M94" s="15">
        <v>1090511</v>
      </c>
      <c r="N94" s="15">
        <v>223842</v>
      </c>
      <c r="O94" s="15">
        <v>2286344</v>
      </c>
    </row>
    <row r="95" spans="1:20">
      <c r="B95" s="15" t="s">
        <v>168</v>
      </c>
      <c r="C95" s="15">
        <v>1096262</v>
      </c>
      <c r="E95" s="15">
        <v>438379.5</v>
      </c>
      <c r="F95" s="15">
        <v>85876</v>
      </c>
      <c r="G95" s="15">
        <v>454983</v>
      </c>
      <c r="H95" s="15">
        <v>361664.5</v>
      </c>
      <c r="J95" s="15">
        <v>2437165</v>
      </c>
      <c r="L95" s="15">
        <v>984006</v>
      </c>
      <c r="M95" s="15">
        <v>1148254</v>
      </c>
      <c r="N95" s="15">
        <v>235856</v>
      </c>
      <c r="O95" s="15">
        <v>2368116</v>
      </c>
    </row>
    <row r="96" spans="1:20">
      <c r="B96" s="15" t="s">
        <v>165</v>
      </c>
      <c r="C96" s="15">
        <v>35942</v>
      </c>
      <c r="D96" s="15">
        <v>0</v>
      </c>
      <c r="E96" s="15">
        <v>0</v>
      </c>
      <c r="F96" s="15">
        <v>108</v>
      </c>
      <c r="G96" s="15">
        <v>9468</v>
      </c>
      <c r="H96" s="15">
        <v>15705</v>
      </c>
      <c r="I96" s="15">
        <v>0</v>
      </c>
      <c r="J96" s="15">
        <v>61223</v>
      </c>
      <c r="K96" s="15">
        <v>0</v>
      </c>
      <c r="L96" s="15">
        <v>176988</v>
      </c>
      <c r="M96" s="15">
        <v>192078</v>
      </c>
      <c r="N96" s="15">
        <v>25381</v>
      </c>
      <c r="O96" s="15">
        <v>394447</v>
      </c>
      <c r="P96" s="15">
        <v>0</v>
      </c>
      <c r="Q96" s="15">
        <v>0</v>
      </c>
      <c r="R96" s="15">
        <v>0</v>
      </c>
      <c r="S96" s="15">
        <v>0</v>
      </c>
      <c r="T96" s="15">
        <v>0</v>
      </c>
    </row>
    <row r="97" spans="1:20">
      <c r="B97" s="15" t="s">
        <v>169</v>
      </c>
      <c r="C97" s="15">
        <v>42584</v>
      </c>
      <c r="D97" s="15">
        <v>0</v>
      </c>
      <c r="E97" s="15">
        <v>312</v>
      </c>
      <c r="F97" s="15">
        <v>219</v>
      </c>
      <c r="G97" s="15">
        <v>10168.469999999999</v>
      </c>
      <c r="H97" s="15">
        <v>21272</v>
      </c>
      <c r="I97" s="15">
        <v>0</v>
      </c>
      <c r="J97" s="15">
        <v>74555.47</v>
      </c>
      <c r="K97" s="15">
        <v>0</v>
      </c>
      <c r="L97" s="15">
        <v>214122</v>
      </c>
      <c r="M97" s="15">
        <v>236187</v>
      </c>
      <c r="N97" s="15">
        <v>30293</v>
      </c>
      <c r="O97" s="15">
        <v>480602</v>
      </c>
      <c r="P97" s="15">
        <v>0</v>
      </c>
      <c r="Q97" s="15">
        <v>0</v>
      </c>
      <c r="R97" s="15">
        <v>0</v>
      </c>
      <c r="S97" s="15">
        <v>0</v>
      </c>
      <c r="T97" s="15">
        <v>0</v>
      </c>
    </row>
    <row r="98" spans="1:20">
      <c r="B98" s="15" t="s">
        <v>166</v>
      </c>
      <c r="C98" s="15">
        <v>179093</v>
      </c>
      <c r="E98" s="15">
        <v>36433</v>
      </c>
      <c r="F98" s="15">
        <v>15590</v>
      </c>
      <c r="G98" s="15">
        <v>23565</v>
      </c>
      <c r="H98" s="15">
        <v>3775</v>
      </c>
      <c r="J98" s="15">
        <v>258456</v>
      </c>
      <c r="L98" s="15">
        <v>0</v>
      </c>
      <c r="M98" s="15">
        <v>0</v>
      </c>
      <c r="N98" s="15">
        <v>0</v>
      </c>
      <c r="O98" s="15">
        <v>0</v>
      </c>
    </row>
    <row r="99" spans="1:20">
      <c r="B99" s="15" t="s">
        <v>170</v>
      </c>
      <c r="C99" s="15">
        <v>190348</v>
      </c>
      <c r="E99" s="15">
        <v>36387</v>
      </c>
      <c r="F99" s="15">
        <v>15502</v>
      </c>
      <c r="G99" s="15">
        <v>25034</v>
      </c>
      <c r="H99" s="15">
        <v>4397</v>
      </c>
      <c r="J99" s="15">
        <v>271668</v>
      </c>
      <c r="L99" s="15">
        <v>0</v>
      </c>
      <c r="M99" s="15">
        <v>0</v>
      </c>
      <c r="N99" s="15">
        <v>0</v>
      </c>
      <c r="O99" s="15">
        <v>0</v>
      </c>
    </row>
    <row r="100" spans="1:20">
      <c r="B100" s="15" t="s">
        <v>167</v>
      </c>
      <c r="C100" s="15">
        <v>34229</v>
      </c>
      <c r="D100" s="15">
        <v>0</v>
      </c>
      <c r="E100" s="15">
        <v>93</v>
      </c>
      <c r="F100" s="15">
        <v>579</v>
      </c>
      <c r="G100" s="15">
        <v>4947</v>
      </c>
      <c r="H100" s="15">
        <v>963</v>
      </c>
      <c r="I100" s="15">
        <v>0</v>
      </c>
      <c r="J100" s="15">
        <v>40811</v>
      </c>
      <c r="K100" s="15">
        <v>0</v>
      </c>
      <c r="L100" s="15">
        <v>0</v>
      </c>
      <c r="M100" s="15">
        <v>0</v>
      </c>
      <c r="N100" s="15">
        <v>0</v>
      </c>
      <c r="O100" s="15">
        <v>0</v>
      </c>
      <c r="P100" s="15">
        <v>0</v>
      </c>
      <c r="Q100" s="15">
        <v>0</v>
      </c>
      <c r="R100" s="15">
        <v>0</v>
      </c>
      <c r="S100" s="15">
        <v>0</v>
      </c>
      <c r="T100" s="15">
        <v>0</v>
      </c>
    </row>
    <row r="101" spans="1:20">
      <c r="B101" s="15" t="s">
        <v>171</v>
      </c>
      <c r="C101" s="15">
        <v>37640</v>
      </c>
      <c r="D101" s="15">
        <v>0</v>
      </c>
      <c r="E101" s="15">
        <v>491</v>
      </c>
      <c r="F101" s="15">
        <v>237</v>
      </c>
      <c r="G101" s="15">
        <v>3057</v>
      </c>
      <c r="H101" s="15">
        <v>1458</v>
      </c>
      <c r="I101" s="15">
        <v>0</v>
      </c>
      <c r="J101" s="15">
        <v>42883</v>
      </c>
      <c r="K101" s="15">
        <v>0</v>
      </c>
      <c r="L101" s="15">
        <v>0</v>
      </c>
      <c r="M101" s="15">
        <v>0</v>
      </c>
      <c r="N101" s="15">
        <v>0</v>
      </c>
      <c r="O101" s="15">
        <v>0</v>
      </c>
      <c r="P101" s="15">
        <v>0</v>
      </c>
      <c r="Q101" s="15">
        <v>0</v>
      </c>
      <c r="R101" s="15">
        <v>0</v>
      </c>
      <c r="S101" s="15">
        <v>0</v>
      </c>
      <c r="T101" s="15">
        <v>0</v>
      </c>
    </row>
    <row r="102" spans="1:20">
      <c r="A102" s="15" t="s">
        <v>82</v>
      </c>
      <c r="B102" s="15" t="s">
        <v>164</v>
      </c>
      <c r="C102" s="15">
        <v>1030515</v>
      </c>
      <c r="E102" s="15">
        <v>1778953</v>
      </c>
      <c r="G102" s="15">
        <v>193747</v>
      </c>
      <c r="J102" s="15">
        <v>3003215</v>
      </c>
      <c r="L102" s="15">
        <v>653285</v>
      </c>
      <c r="M102" s="15">
        <v>1103557</v>
      </c>
      <c r="N102" s="15">
        <v>61785</v>
      </c>
      <c r="O102" s="15">
        <v>1818627</v>
      </c>
      <c r="Q102" s="15">
        <v>11553299</v>
      </c>
      <c r="R102" s="15">
        <v>11553299</v>
      </c>
    </row>
    <row r="103" spans="1:20">
      <c r="B103" s="15" t="s">
        <v>168</v>
      </c>
      <c r="C103" s="15">
        <v>990540</v>
      </c>
      <c r="E103" s="15">
        <v>1850777</v>
      </c>
      <c r="G103" s="15">
        <v>189533</v>
      </c>
      <c r="J103" s="15">
        <v>3030850</v>
      </c>
      <c r="L103" s="15">
        <v>717550</v>
      </c>
      <c r="M103" s="15">
        <v>1195414</v>
      </c>
      <c r="N103" s="15">
        <v>72924</v>
      </c>
      <c r="O103" s="15">
        <v>1985888</v>
      </c>
      <c r="Q103" s="15">
        <v>0</v>
      </c>
      <c r="R103" s="15">
        <v>0</v>
      </c>
    </row>
    <row r="104" spans="1:20">
      <c r="B104" s="15" t="s">
        <v>165</v>
      </c>
      <c r="C104" s="15">
        <v>133054</v>
      </c>
      <c r="D104" s="15">
        <v>0</v>
      </c>
      <c r="E104" s="15">
        <v>215507</v>
      </c>
      <c r="F104" s="15">
        <v>0</v>
      </c>
      <c r="G104" s="15">
        <v>9483</v>
      </c>
      <c r="H104" s="15">
        <v>0</v>
      </c>
      <c r="I104" s="15">
        <v>0</v>
      </c>
      <c r="J104" s="15">
        <v>358044</v>
      </c>
      <c r="K104" s="15">
        <v>0</v>
      </c>
      <c r="L104" s="15">
        <v>113994</v>
      </c>
      <c r="M104" s="15">
        <v>253276</v>
      </c>
      <c r="N104" s="15">
        <v>11942</v>
      </c>
      <c r="O104" s="15">
        <v>379212</v>
      </c>
      <c r="P104" s="15">
        <v>0</v>
      </c>
      <c r="Q104" s="15">
        <v>0</v>
      </c>
      <c r="R104" s="15">
        <v>0</v>
      </c>
      <c r="S104" s="15">
        <v>0</v>
      </c>
      <c r="T104" s="15">
        <v>0</v>
      </c>
    </row>
    <row r="105" spans="1:20">
      <c r="B105" s="15" t="s">
        <v>169</v>
      </c>
      <c r="C105" s="15">
        <v>138967</v>
      </c>
      <c r="D105" s="15">
        <v>0</v>
      </c>
      <c r="E105" s="15">
        <v>241645</v>
      </c>
      <c r="F105" s="15">
        <v>0</v>
      </c>
      <c r="G105" s="15">
        <v>11593</v>
      </c>
      <c r="H105" s="15">
        <v>0</v>
      </c>
      <c r="I105" s="15">
        <v>0</v>
      </c>
      <c r="J105" s="15">
        <v>392205</v>
      </c>
      <c r="K105" s="15">
        <v>0</v>
      </c>
      <c r="L105" s="15">
        <v>147110</v>
      </c>
      <c r="M105" s="15">
        <v>294120</v>
      </c>
      <c r="N105" s="15">
        <v>16565</v>
      </c>
      <c r="O105" s="15">
        <v>457795</v>
      </c>
      <c r="P105" s="15">
        <v>0</v>
      </c>
      <c r="Q105" s="15">
        <v>0</v>
      </c>
      <c r="R105" s="15">
        <v>0</v>
      </c>
      <c r="S105" s="15">
        <v>0</v>
      </c>
      <c r="T105" s="15">
        <v>0</v>
      </c>
    </row>
    <row r="106" spans="1:20">
      <c r="B106" s="15" t="s">
        <v>166</v>
      </c>
      <c r="C106" s="15">
        <v>202679</v>
      </c>
      <c r="E106" s="15">
        <v>190806</v>
      </c>
      <c r="G106" s="15">
        <v>7808</v>
      </c>
      <c r="J106" s="15">
        <v>401293</v>
      </c>
      <c r="L106" s="15">
        <v>0</v>
      </c>
      <c r="M106" s="15">
        <v>0</v>
      </c>
      <c r="N106" s="15">
        <v>0</v>
      </c>
      <c r="O106" s="15">
        <v>0</v>
      </c>
      <c r="Q106" s="15">
        <v>0</v>
      </c>
      <c r="R106" s="15">
        <v>0</v>
      </c>
    </row>
    <row r="107" spans="1:20">
      <c r="B107" s="15" t="s">
        <v>170</v>
      </c>
      <c r="C107" s="15">
        <v>212702</v>
      </c>
      <c r="E107" s="15">
        <v>185012</v>
      </c>
      <c r="G107" s="15">
        <v>6675</v>
      </c>
      <c r="J107" s="15">
        <v>404389</v>
      </c>
      <c r="L107" s="15">
        <v>0</v>
      </c>
      <c r="M107" s="15">
        <v>0</v>
      </c>
      <c r="N107" s="15">
        <v>0</v>
      </c>
      <c r="O107" s="15">
        <v>0</v>
      </c>
      <c r="Q107" s="15">
        <v>0</v>
      </c>
      <c r="R107" s="15">
        <v>0</v>
      </c>
    </row>
    <row r="108" spans="1:20">
      <c r="B108" s="15" t="s">
        <v>167</v>
      </c>
      <c r="C108" s="15">
        <v>31554</v>
      </c>
      <c r="D108" s="15">
        <v>0</v>
      </c>
      <c r="E108" s="15">
        <v>46918</v>
      </c>
      <c r="F108" s="15">
        <v>0</v>
      </c>
      <c r="G108" s="15">
        <v>5204</v>
      </c>
      <c r="H108" s="15">
        <v>0</v>
      </c>
      <c r="I108" s="15">
        <v>0</v>
      </c>
      <c r="J108" s="15">
        <v>83676</v>
      </c>
      <c r="K108" s="15">
        <v>0</v>
      </c>
      <c r="L108" s="15">
        <v>0</v>
      </c>
      <c r="M108" s="15">
        <v>0</v>
      </c>
      <c r="N108" s="15">
        <v>0</v>
      </c>
      <c r="O108" s="15">
        <v>0</v>
      </c>
      <c r="P108" s="15">
        <v>0</v>
      </c>
      <c r="Q108" s="15">
        <v>0</v>
      </c>
      <c r="R108" s="15">
        <v>0</v>
      </c>
      <c r="S108" s="15">
        <v>0</v>
      </c>
      <c r="T108" s="15">
        <v>0</v>
      </c>
    </row>
    <row r="109" spans="1:20">
      <c r="B109" s="15" t="s">
        <v>171</v>
      </c>
      <c r="C109" s="15">
        <v>30851</v>
      </c>
      <c r="D109" s="15">
        <v>0</v>
      </c>
      <c r="E109" s="15">
        <v>35804</v>
      </c>
      <c r="F109" s="15">
        <v>0</v>
      </c>
      <c r="G109" s="15">
        <v>3896</v>
      </c>
      <c r="H109" s="15">
        <v>0</v>
      </c>
      <c r="I109" s="15">
        <v>0</v>
      </c>
      <c r="J109" s="15">
        <v>70551</v>
      </c>
      <c r="K109" s="15">
        <v>0</v>
      </c>
      <c r="L109" s="15">
        <v>0</v>
      </c>
      <c r="M109" s="15">
        <v>0</v>
      </c>
      <c r="N109" s="15">
        <v>0</v>
      </c>
      <c r="O109" s="15">
        <v>0</v>
      </c>
      <c r="P109" s="15">
        <v>0</v>
      </c>
      <c r="Q109" s="15">
        <v>0</v>
      </c>
      <c r="R109" s="15">
        <v>0</v>
      </c>
      <c r="S109" s="15">
        <v>0</v>
      </c>
      <c r="T109" s="15">
        <v>0</v>
      </c>
    </row>
    <row r="110" spans="1:20">
      <c r="A110" s="15" t="s">
        <v>83</v>
      </c>
      <c r="B110" s="15" t="s">
        <v>164</v>
      </c>
      <c r="C110" s="15">
        <v>4928585</v>
      </c>
      <c r="D110" s="15">
        <v>1221849</v>
      </c>
      <c r="E110" s="15">
        <v>3952401</v>
      </c>
      <c r="F110" s="15">
        <v>132800</v>
      </c>
      <c r="G110" s="15">
        <v>276483</v>
      </c>
      <c r="H110" s="15">
        <v>49077</v>
      </c>
      <c r="J110" s="15">
        <v>10561195</v>
      </c>
      <c r="K110" s="15">
        <v>645990</v>
      </c>
      <c r="L110" s="15">
        <v>9530621</v>
      </c>
      <c r="M110" s="15">
        <v>2566233</v>
      </c>
      <c r="N110" s="15">
        <v>426690</v>
      </c>
      <c r="O110" s="15">
        <v>13169534</v>
      </c>
      <c r="S110" s="15">
        <v>38542</v>
      </c>
      <c r="T110" s="15">
        <v>38542</v>
      </c>
    </row>
    <row r="111" spans="1:20">
      <c r="B111" s="15" t="s">
        <v>168</v>
      </c>
      <c r="C111" s="15">
        <v>5122035</v>
      </c>
      <c r="D111" s="15">
        <v>1275570</v>
      </c>
      <c r="E111" s="15">
        <v>4096280</v>
      </c>
      <c r="F111" s="15">
        <v>150976</v>
      </c>
      <c r="G111" s="15">
        <v>281735</v>
      </c>
      <c r="H111" s="15">
        <v>49481</v>
      </c>
      <c r="J111" s="15">
        <v>10976077</v>
      </c>
      <c r="K111" s="15">
        <v>748106</v>
      </c>
      <c r="L111" s="15">
        <v>10695061</v>
      </c>
      <c r="M111" s="15">
        <v>2847815</v>
      </c>
      <c r="N111" s="15">
        <v>481104</v>
      </c>
      <c r="O111" s="15">
        <v>14772086</v>
      </c>
      <c r="S111" s="15">
        <v>105771</v>
      </c>
      <c r="T111" s="15">
        <v>105771</v>
      </c>
    </row>
    <row r="112" spans="1:20">
      <c r="B112" s="15" t="s">
        <v>165</v>
      </c>
      <c r="C112" s="15">
        <v>264615</v>
      </c>
      <c r="D112" s="15">
        <v>66914</v>
      </c>
      <c r="E112" s="15">
        <v>226612</v>
      </c>
      <c r="F112" s="15">
        <v>43153</v>
      </c>
      <c r="G112" s="15">
        <v>34902</v>
      </c>
      <c r="H112" s="15">
        <v>0</v>
      </c>
      <c r="I112" s="15">
        <v>0</v>
      </c>
      <c r="J112" s="15">
        <v>636196</v>
      </c>
      <c r="K112" s="15">
        <v>98090</v>
      </c>
      <c r="L112" s="15">
        <v>1532408</v>
      </c>
      <c r="M112" s="15">
        <v>428340</v>
      </c>
      <c r="N112" s="15">
        <v>96413</v>
      </c>
      <c r="O112" s="15">
        <v>2155251</v>
      </c>
      <c r="P112" s="15">
        <v>0</v>
      </c>
      <c r="Q112" s="15">
        <v>0</v>
      </c>
      <c r="R112" s="15">
        <v>0</v>
      </c>
      <c r="S112" s="15">
        <v>1611</v>
      </c>
      <c r="T112" s="15">
        <v>1611</v>
      </c>
    </row>
    <row r="113" spans="1:20">
      <c r="B113" s="15" t="s">
        <v>169</v>
      </c>
      <c r="C113" s="15">
        <v>370133</v>
      </c>
      <c r="D113" s="15">
        <v>88967</v>
      </c>
      <c r="E113" s="15">
        <v>306055</v>
      </c>
      <c r="F113" s="15">
        <v>56016</v>
      </c>
      <c r="G113" s="15">
        <v>49229</v>
      </c>
      <c r="H113" s="15">
        <v>6</v>
      </c>
      <c r="I113" s="15">
        <v>0</v>
      </c>
      <c r="J113" s="15">
        <v>870406</v>
      </c>
      <c r="K113" s="15">
        <v>128838</v>
      </c>
      <c r="L113" s="15">
        <v>1848878</v>
      </c>
      <c r="M113" s="15">
        <v>519501</v>
      </c>
      <c r="N113" s="15">
        <v>107951</v>
      </c>
      <c r="O113" s="15">
        <v>2605168</v>
      </c>
      <c r="P113" s="15">
        <v>0</v>
      </c>
      <c r="Q113" s="15">
        <v>0</v>
      </c>
      <c r="R113" s="15">
        <v>0</v>
      </c>
      <c r="S113" s="15">
        <v>10340</v>
      </c>
      <c r="T113" s="15">
        <v>10340</v>
      </c>
    </row>
    <row r="114" spans="1:20">
      <c r="B114" s="15" t="s">
        <v>166</v>
      </c>
      <c r="C114" s="15">
        <v>1023831</v>
      </c>
      <c r="D114" s="15">
        <v>202781</v>
      </c>
      <c r="E114" s="15">
        <v>639402</v>
      </c>
      <c r="F114" s="15">
        <v>44333</v>
      </c>
      <c r="G114" s="15">
        <v>5490</v>
      </c>
      <c r="H114" s="15">
        <v>874</v>
      </c>
      <c r="J114" s="15">
        <v>1916711</v>
      </c>
      <c r="K114" s="15">
        <v>0</v>
      </c>
      <c r="L114" s="15">
        <v>0</v>
      </c>
      <c r="M114" s="15">
        <v>0</v>
      </c>
      <c r="N114" s="15">
        <v>0</v>
      </c>
      <c r="O114" s="15">
        <v>0</v>
      </c>
      <c r="S114" s="15">
        <v>9177</v>
      </c>
      <c r="T114" s="15">
        <v>9177</v>
      </c>
    </row>
    <row r="115" spans="1:20">
      <c r="B115" s="15" t="s">
        <v>170</v>
      </c>
      <c r="C115" s="15">
        <v>1092468</v>
      </c>
      <c r="D115" s="15">
        <v>223134</v>
      </c>
      <c r="E115" s="15">
        <v>661779</v>
      </c>
      <c r="F115" s="15">
        <v>46936</v>
      </c>
      <c r="G115" s="15">
        <v>5625</v>
      </c>
      <c r="H115" s="15">
        <v>996</v>
      </c>
      <c r="J115" s="15">
        <v>2030938</v>
      </c>
      <c r="K115" s="15">
        <v>0</v>
      </c>
      <c r="L115" s="15">
        <v>0</v>
      </c>
      <c r="M115" s="15">
        <v>0</v>
      </c>
      <c r="N115" s="15">
        <v>0</v>
      </c>
      <c r="O115" s="15">
        <v>0</v>
      </c>
      <c r="S115" s="15">
        <v>29317</v>
      </c>
      <c r="T115" s="15">
        <v>29317</v>
      </c>
    </row>
    <row r="116" spans="1:20">
      <c r="B116" s="15" t="s">
        <v>167</v>
      </c>
      <c r="C116" s="15">
        <v>84205</v>
      </c>
      <c r="D116" s="15">
        <v>51851</v>
      </c>
      <c r="E116" s="15">
        <v>196921</v>
      </c>
      <c r="F116" s="15">
        <v>24063</v>
      </c>
      <c r="G116" s="15">
        <v>1014</v>
      </c>
      <c r="H116" s="15">
        <v>36</v>
      </c>
      <c r="I116" s="15">
        <v>0</v>
      </c>
      <c r="J116" s="15">
        <v>358090</v>
      </c>
      <c r="K116" s="15">
        <v>0</v>
      </c>
      <c r="L116" s="15">
        <v>0</v>
      </c>
      <c r="M116" s="15">
        <v>0</v>
      </c>
      <c r="N116" s="15">
        <v>0</v>
      </c>
      <c r="O116" s="15">
        <v>0</v>
      </c>
      <c r="P116" s="15">
        <v>0</v>
      </c>
      <c r="Q116" s="15">
        <v>0</v>
      </c>
      <c r="R116" s="15">
        <v>0</v>
      </c>
      <c r="S116" s="15">
        <v>132</v>
      </c>
      <c r="T116" s="15">
        <v>132</v>
      </c>
    </row>
    <row r="117" spans="1:20">
      <c r="B117" s="15" t="s">
        <v>171</v>
      </c>
      <c r="C117" s="15">
        <v>118870</v>
      </c>
      <c r="D117" s="15">
        <v>62151</v>
      </c>
      <c r="E117" s="15">
        <v>224307</v>
      </c>
      <c r="F117" s="15">
        <v>27678</v>
      </c>
      <c r="G117" s="15">
        <v>1632</v>
      </c>
      <c r="H117" s="15">
        <v>63</v>
      </c>
      <c r="I117" s="15">
        <v>0</v>
      </c>
      <c r="J117" s="15">
        <v>434701</v>
      </c>
      <c r="K117" s="15">
        <v>0</v>
      </c>
      <c r="L117" s="15">
        <v>0</v>
      </c>
      <c r="M117" s="15">
        <v>0</v>
      </c>
      <c r="N117" s="15">
        <v>0</v>
      </c>
      <c r="O117" s="15">
        <v>0</v>
      </c>
      <c r="P117" s="15">
        <v>0</v>
      </c>
      <c r="Q117" s="15">
        <v>0</v>
      </c>
      <c r="R117" s="15">
        <v>0</v>
      </c>
      <c r="S117" s="15">
        <v>2227</v>
      </c>
      <c r="T117" s="15">
        <v>2227</v>
      </c>
    </row>
    <row r="118" spans="1:20">
      <c r="A118" s="15" t="s">
        <v>84</v>
      </c>
      <c r="B118" s="15" t="s">
        <v>164</v>
      </c>
      <c r="C118" s="15">
        <v>0</v>
      </c>
      <c r="D118" s="15">
        <v>0</v>
      </c>
      <c r="E118" s="15">
        <v>0</v>
      </c>
      <c r="F118" s="15">
        <v>0</v>
      </c>
      <c r="G118" s="15">
        <v>0</v>
      </c>
      <c r="H118" s="15">
        <v>0</v>
      </c>
      <c r="J118" s="15">
        <v>0</v>
      </c>
      <c r="L118" s="15">
        <v>0</v>
      </c>
      <c r="M118" s="15">
        <v>0</v>
      </c>
      <c r="N118" s="15">
        <v>0</v>
      </c>
      <c r="O118" s="15">
        <v>0</v>
      </c>
    </row>
    <row r="119" spans="1:20">
      <c r="B119" s="15" t="s">
        <v>168</v>
      </c>
      <c r="C119" s="15">
        <v>2239653.5</v>
      </c>
      <c r="D119" s="15">
        <v>817799</v>
      </c>
      <c r="E119" s="15">
        <v>667628</v>
      </c>
      <c r="F119" s="15">
        <v>512517</v>
      </c>
      <c r="G119" s="15">
        <v>264323</v>
      </c>
      <c r="H119" s="15">
        <v>50690.3</v>
      </c>
      <c r="J119" s="15">
        <v>4552610.8</v>
      </c>
      <c r="L119" s="15">
        <v>2108344</v>
      </c>
      <c r="M119" s="15">
        <v>1231178</v>
      </c>
      <c r="N119" s="15">
        <v>443292</v>
      </c>
      <c r="O119" s="15">
        <v>3782814</v>
      </c>
    </row>
    <row r="120" spans="1:20">
      <c r="B120" s="15" t="s">
        <v>165</v>
      </c>
      <c r="C120" s="15">
        <v>0</v>
      </c>
      <c r="D120" s="15">
        <v>0</v>
      </c>
      <c r="E120" s="15">
        <v>0</v>
      </c>
      <c r="F120" s="15">
        <v>0</v>
      </c>
      <c r="G120" s="15">
        <v>0</v>
      </c>
      <c r="H120" s="15">
        <v>0</v>
      </c>
      <c r="I120" s="15">
        <v>0</v>
      </c>
      <c r="J120" s="15">
        <v>0</v>
      </c>
      <c r="K120" s="15">
        <v>0</v>
      </c>
      <c r="L120" s="15">
        <v>0</v>
      </c>
      <c r="M120" s="15">
        <v>0</v>
      </c>
      <c r="N120" s="15">
        <v>0</v>
      </c>
      <c r="O120" s="15">
        <v>0</v>
      </c>
      <c r="P120" s="15">
        <v>0</v>
      </c>
      <c r="Q120" s="15">
        <v>0</v>
      </c>
      <c r="R120" s="15">
        <v>0</v>
      </c>
      <c r="S120" s="15">
        <v>0</v>
      </c>
      <c r="T120" s="15">
        <v>0</v>
      </c>
    </row>
    <row r="121" spans="1:20">
      <c r="B121" s="15" t="s">
        <v>169</v>
      </c>
      <c r="C121" s="15">
        <v>86712</v>
      </c>
      <c r="D121" s="15">
        <v>15580</v>
      </c>
      <c r="E121" s="15">
        <v>18759</v>
      </c>
      <c r="F121" s="15">
        <v>10325</v>
      </c>
      <c r="G121" s="15">
        <v>5733</v>
      </c>
      <c r="H121" s="15">
        <v>2020</v>
      </c>
      <c r="I121" s="15">
        <v>0</v>
      </c>
      <c r="J121" s="15">
        <v>139129</v>
      </c>
      <c r="K121" s="15">
        <v>0</v>
      </c>
      <c r="L121" s="15">
        <v>475722</v>
      </c>
      <c r="M121" s="15">
        <v>273053</v>
      </c>
      <c r="N121" s="15">
        <v>144987</v>
      </c>
      <c r="O121" s="15">
        <v>893762</v>
      </c>
      <c r="P121" s="15">
        <v>0</v>
      </c>
      <c r="Q121" s="15">
        <v>0</v>
      </c>
      <c r="R121" s="15">
        <v>0</v>
      </c>
      <c r="S121" s="15">
        <v>0</v>
      </c>
      <c r="T121" s="15">
        <v>0</v>
      </c>
    </row>
    <row r="122" spans="1:20">
      <c r="B122" s="15" t="s">
        <v>166</v>
      </c>
      <c r="C122" s="15">
        <v>0</v>
      </c>
      <c r="D122" s="15">
        <v>0</v>
      </c>
      <c r="E122" s="15">
        <v>0</v>
      </c>
      <c r="F122" s="15">
        <v>0</v>
      </c>
      <c r="G122" s="15">
        <v>0</v>
      </c>
      <c r="H122" s="15">
        <v>0</v>
      </c>
      <c r="J122" s="15">
        <v>0</v>
      </c>
      <c r="L122" s="15">
        <v>0</v>
      </c>
      <c r="M122" s="15">
        <v>0</v>
      </c>
      <c r="N122" s="15">
        <v>0</v>
      </c>
      <c r="O122" s="15">
        <v>0</v>
      </c>
    </row>
    <row r="123" spans="1:20">
      <c r="B123" s="15" t="s">
        <v>170</v>
      </c>
      <c r="C123" s="15">
        <v>595754.89999999793</v>
      </c>
      <c r="D123" s="15">
        <v>200638.5</v>
      </c>
      <c r="E123" s="15">
        <v>45429</v>
      </c>
      <c r="F123" s="15">
        <v>37702</v>
      </c>
      <c r="G123" s="15">
        <v>15072</v>
      </c>
      <c r="H123" s="15">
        <v>0</v>
      </c>
      <c r="J123" s="15">
        <v>894596.39999999793</v>
      </c>
      <c r="L123" s="15">
        <v>0</v>
      </c>
      <c r="M123" s="15">
        <v>0</v>
      </c>
      <c r="N123" s="15">
        <v>0</v>
      </c>
      <c r="O123" s="15">
        <v>0</v>
      </c>
    </row>
    <row r="124" spans="1:20">
      <c r="B124" s="15" t="s">
        <v>167</v>
      </c>
      <c r="C124" s="15">
        <v>0</v>
      </c>
      <c r="D124" s="15">
        <v>0</v>
      </c>
      <c r="E124" s="15">
        <v>0</v>
      </c>
      <c r="F124" s="15">
        <v>0</v>
      </c>
      <c r="G124" s="15">
        <v>0</v>
      </c>
      <c r="H124" s="15">
        <v>0</v>
      </c>
      <c r="I124" s="15">
        <v>0</v>
      </c>
      <c r="J124" s="15">
        <v>0</v>
      </c>
      <c r="K124" s="15">
        <v>0</v>
      </c>
      <c r="L124" s="15">
        <v>0</v>
      </c>
      <c r="M124" s="15">
        <v>0</v>
      </c>
      <c r="N124" s="15">
        <v>0</v>
      </c>
      <c r="O124" s="15">
        <v>0</v>
      </c>
      <c r="P124" s="15">
        <v>0</v>
      </c>
      <c r="Q124" s="15">
        <v>0</v>
      </c>
      <c r="R124" s="15">
        <v>0</v>
      </c>
      <c r="S124" s="15">
        <v>0</v>
      </c>
      <c r="T124" s="15">
        <v>0</v>
      </c>
    </row>
    <row r="125" spans="1:20">
      <c r="B125" s="15" t="s">
        <v>171</v>
      </c>
      <c r="C125" s="15">
        <v>55509</v>
      </c>
      <c r="D125" s="15">
        <v>8050</v>
      </c>
      <c r="E125" s="15">
        <v>4189</v>
      </c>
      <c r="F125" s="15">
        <v>2398</v>
      </c>
      <c r="G125" s="15">
        <v>1687</v>
      </c>
      <c r="H125" s="15">
        <v>0</v>
      </c>
      <c r="I125" s="15">
        <v>0</v>
      </c>
      <c r="J125" s="15">
        <v>71833</v>
      </c>
      <c r="K125" s="15">
        <v>0</v>
      </c>
      <c r="L125" s="15">
        <v>0</v>
      </c>
      <c r="M125" s="15">
        <v>0</v>
      </c>
      <c r="N125" s="15">
        <v>0</v>
      </c>
      <c r="O125" s="15">
        <v>0</v>
      </c>
      <c r="P125" s="15">
        <v>0</v>
      </c>
      <c r="Q125" s="15">
        <v>0</v>
      </c>
      <c r="R125" s="15">
        <v>0</v>
      </c>
      <c r="S125" s="15">
        <v>0</v>
      </c>
      <c r="T125" s="15">
        <v>0</v>
      </c>
    </row>
    <row r="126" spans="1:20">
      <c r="A126" s="15" t="s">
        <v>85</v>
      </c>
      <c r="B126" s="15" t="s">
        <v>164</v>
      </c>
      <c r="C126" s="15">
        <v>643635</v>
      </c>
      <c r="E126" s="15">
        <v>254769</v>
      </c>
      <c r="G126" s="15">
        <v>223336</v>
      </c>
      <c r="H126" s="15">
        <v>354607</v>
      </c>
      <c r="J126" s="15">
        <v>1476347</v>
      </c>
      <c r="K126" s="15">
        <v>134095</v>
      </c>
      <c r="N126" s="15">
        <v>392384</v>
      </c>
      <c r="O126" s="15">
        <v>526479</v>
      </c>
    </row>
    <row r="127" spans="1:20">
      <c r="B127" s="15" t="s">
        <v>168</v>
      </c>
      <c r="C127" s="15">
        <v>650374</v>
      </c>
      <c r="E127" s="15">
        <v>268026</v>
      </c>
      <c r="G127" s="15">
        <v>229207</v>
      </c>
      <c r="H127" s="15">
        <v>365992</v>
      </c>
      <c r="J127" s="15">
        <v>1513599</v>
      </c>
      <c r="K127" s="15">
        <v>149791</v>
      </c>
      <c r="N127" s="15">
        <v>435332</v>
      </c>
      <c r="O127" s="15">
        <v>585123</v>
      </c>
    </row>
    <row r="128" spans="1:20">
      <c r="B128" s="15" t="s">
        <v>165</v>
      </c>
      <c r="C128" s="15">
        <v>38943</v>
      </c>
      <c r="D128" s="15">
        <v>0</v>
      </c>
      <c r="E128" s="15">
        <v>31400</v>
      </c>
      <c r="F128" s="15">
        <v>0</v>
      </c>
      <c r="G128" s="15">
        <v>14547</v>
      </c>
      <c r="H128" s="15">
        <v>30338</v>
      </c>
      <c r="I128" s="15">
        <v>0</v>
      </c>
      <c r="J128" s="15">
        <v>115228</v>
      </c>
      <c r="K128" s="15">
        <v>21874</v>
      </c>
      <c r="L128" s="15">
        <v>0</v>
      </c>
      <c r="M128" s="15">
        <v>0</v>
      </c>
      <c r="N128" s="15">
        <v>57459</v>
      </c>
      <c r="O128" s="15">
        <v>79333</v>
      </c>
      <c r="P128" s="15">
        <v>0</v>
      </c>
      <c r="Q128" s="15">
        <v>0</v>
      </c>
      <c r="R128" s="15">
        <v>0</v>
      </c>
      <c r="S128" s="15">
        <v>0</v>
      </c>
      <c r="T128" s="15">
        <v>0</v>
      </c>
    </row>
    <row r="129" spans="2:20">
      <c r="B129" s="15" t="s">
        <v>169</v>
      </c>
      <c r="C129" s="15">
        <v>42506</v>
      </c>
      <c r="D129" s="15">
        <v>0</v>
      </c>
      <c r="E129" s="15">
        <v>34846</v>
      </c>
      <c r="F129" s="15">
        <v>0</v>
      </c>
      <c r="G129" s="15">
        <v>15796</v>
      </c>
      <c r="H129" s="15">
        <v>40016</v>
      </c>
      <c r="I129" s="15">
        <v>0</v>
      </c>
      <c r="J129" s="15">
        <v>133164</v>
      </c>
      <c r="K129" s="15">
        <v>27169</v>
      </c>
      <c r="L129" s="15">
        <v>0</v>
      </c>
      <c r="M129" s="15">
        <v>0</v>
      </c>
      <c r="N129" s="15">
        <v>74603</v>
      </c>
      <c r="O129" s="15">
        <v>101772</v>
      </c>
      <c r="P129" s="15">
        <v>0</v>
      </c>
      <c r="Q129" s="15">
        <v>0</v>
      </c>
      <c r="R129" s="15">
        <v>0</v>
      </c>
      <c r="S129" s="15">
        <v>0</v>
      </c>
      <c r="T129" s="15">
        <v>0</v>
      </c>
    </row>
    <row r="130" spans="2:20">
      <c r="B130" s="15" t="s">
        <v>166</v>
      </c>
      <c r="C130" s="15">
        <v>112343</v>
      </c>
      <c r="E130" s="15">
        <v>55755</v>
      </c>
      <c r="G130" s="15">
        <v>9025</v>
      </c>
      <c r="H130" s="15">
        <v>3207</v>
      </c>
      <c r="J130" s="15">
        <v>180330</v>
      </c>
      <c r="K130" s="15">
        <v>0</v>
      </c>
      <c r="N130" s="15">
        <v>6</v>
      </c>
      <c r="O130" s="15">
        <v>6</v>
      </c>
    </row>
    <row r="131" spans="2:20">
      <c r="B131" s="15" t="s">
        <v>170</v>
      </c>
      <c r="C131" s="15">
        <v>112337</v>
      </c>
      <c r="E131" s="15">
        <v>55610</v>
      </c>
      <c r="G131" s="15">
        <v>8573</v>
      </c>
      <c r="H131" s="15">
        <v>4777</v>
      </c>
      <c r="J131" s="15">
        <v>181297</v>
      </c>
      <c r="K131" s="15">
        <v>0</v>
      </c>
      <c r="N131" s="15">
        <v>0</v>
      </c>
      <c r="O131" s="15">
        <v>0</v>
      </c>
    </row>
    <row r="132" spans="2:20">
      <c r="B132" s="15" t="s">
        <v>167</v>
      </c>
      <c r="C132" s="15">
        <v>26455</v>
      </c>
      <c r="D132" s="15">
        <v>0</v>
      </c>
      <c r="E132" s="15">
        <v>12956</v>
      </c>
      <c r="F132" s="15">
        <v>0</v>
      </c>
      <c r="G132" s="15">
        <v>4037</v>
      </c>
      <c r="H132" s="15">
        <v>1548</v>
      </c>
      <c r="I132" s="15">
        <v>0</v>
      </c>
      <c r="J132" s="15">
        <v>44996</v>
      </c>
      <c r="K132" s="15">
        <v>0</v>
      </c>
      <c r="L132" s="15">
        <v>0</v>
      </c>
      <c r="M132" s="15">
        <v>0</v>
      </c>
      <c r="N132" s="15">
        <v>0</v>
      </c>
      <c r="O132" s="15">
        <v>0</v>
      </c>
      <c r="P132" s="15">
        <v>0</v>
      </c>
      <c r="Q132" s="15">
        <v>0</v>
      </c>
      <c r="R132" s="15">
        <v>0</v>
      </c>
      <c r="S132" s="15">
        <v>0</v>
      </c>
      <c r="T132" s="15">
        <v>0</v>
      </c>
    </row>
    <row r="133" spans="2:20">
      <c r="B133" s="15" t="s">
        <v>171</v>
      </c>
      <c r="C133" s="15">
        <v>27334</v>
      </c>
      <c r="D133" s="15">
        <v>0</v>
      </c>
      <c r="E133" s="15">
        <v>12407</v>
      </c>
      <c r="F133" s="15">
        <v>0</v>
      </c>
      <c r="G133" s="15">
        <v>4160</v>
      </c>
      <c r="H133" s="15">
        <v>2391</v>
      </c>
      <c r="I133" s="15">
        <v>0</v>
      </c>
      <c r="J133" s="15">
        <v>46292</v>
      </c>
      <c r="K133" s="15">
        <v>0</v>
      </c>
      <c r="L133" s="15">
        <v>0</v>
      </c>
      <c r="M133" s="15">
        <v>0</v>
      </c>
      <c r="N133" s="15">
        <v>0</v>
      </c>
      <c r="O133" s="15">
        <v>0</v>
      </c>
      <c r="P133" s="15">
        <v>0</v>
      </c>
      <c r="Q133" s="15">
        <v>0</v>
      </c>
      <c r="R133" s="15">
        <v>0</v>
      </c>
      <c r="S133" s="15">
        <v>0</v>
      </c>
      <c r="T133" s="1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NEW...Tables 87-90</vt:lpstr>
      <vt:lpstr>OLD...Tables</vt:lpstr>
      <vt:lpstr>NEW...Tables 91-112</vt:lpstr>
      <vt:lpstr>OLD...Tabs</vt:lpstr>
      <vt:lpstr>Pivot Table for Data Exchange</vt:lpstr>
      <vt:lpstr>E-learning credit hours</vt:lpstr>
      <vt:lpstr>Format for DE pivot</vt:lpstr>
      <vt:lpstr>Format 01b</vt:lpstr>
      <vt:lpstr>Summary Table for Fact Book</vt:lpstr>
      <vt:lpstr>Pivot Table for Fact Book</vt:lpstr>
      <vt:lpstr>'NEW...Tables 87-90'!Print_Area</vt:lpstr>
      <vt:lpstr>'NEW...Tables 91-112'!Print_Area</vt:lpstr>
      <vt:lpstr>OLD...Tables!Print_Area</vt:lpstr>
      <vt:lpstr>OLD...Tabs!Print_Area</vt:lpstr>
      <vt:lpstr>'E-learning credit hours'!Type11gr1_1</vt:lpstr>
      <vt:lpstr>'E-learning credit hours'!Type11gr2</vt:lpstr>
      <vt:lpstr>'E-learning credit hours'!Type11gr3_1</vt:lpstr>
      <vt:lpstr>'E-learning credit hours'!Type11gr4_1</vt:lpstr>
      <vt:lpstr>'E-learning credit hours'!Type11gr5_1</vt:lpstr>
      <vt:lpstr>'E-learning credit hours'!Type11ug1_1</vt:lpstr>
      <vt:lpstr>'E-learning credit hours'!Type11ug2</vt:lpstr>
      <vt:lpstr>'E-learning credit hours'!Type11ug3</vt:lpstr>
      <vt:lpstr>'E-learning credit hours'!Type11ug4</vt:lpstr>
      <vt:lpstr>'E-learning credit hours'!Type11ug5_1</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Lisa Cowan</cp:lastModifiedBy>
  <cp:lastPrinted>2013-01-15T20:17:25Z</cp:lastPrinted>
  <dcterms:created xsi:type="dcterms:W3CDTF">2010-11-24T15:25:05Z</dcterms:created>
  <dcterms:modified xsi:type="dcterms:W3CDTF">2013-01-15T20:21:07Z</dcterms:modified>
</cp:coreProperties>
</file>